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92" tabRatio="955" activeTab="0"/>
  </bookViews>
  <sheets>
    <sheet name="Главная" sheetId="1" r:id="rId1"/>
    <sheet name="Акриловый камень Hi-Macs" sheetId="2" r:id="rId2"/>
    <sheet name="Corian_листы и мойки" sheetId="3" r:id="rId3"/>
    <sheet name="Montelli_листы и мойки" sheetId="4" r:id="rId4"/>
    <sheet name="3D панели_распродажа" sheetId="5" r:id="rId5"/>
    <sheet name="Silestone" sheetId="6" r:id="rId6"/>
    <sheet name="плитка Silestone" sheetId="7" r:id="rId7"/>
    <sheet name="Мойки Silestone" sheetId="8" r:id="rId8"/>
    <sheet name="DEKTON" sheetId="9" r:id="rId9"/>
    <sheet name="Dekton 4 мм" sheetId="10" r:id="rId10"/>
    <sheet name="Invision" sheetId="11" r:id="rId11"/>
    <sheet name="KronoCompact" sheetId="12" r:id="rId12"/>
    <sheet name="Декоры KronoCompact" sheetId="13" r:id="rId13"/>
    <sheet name="KronoCompact Express" sheetId="14" r:id="rId14"/>
    <sheet name="пластик HPL" sheetId="15" r:id="rId15"/>
    <sheet name="Декоры HPL" sheetId="16" r:id="rId16"/>
    <sheet name="HPL_от 1 листа_Express" sheetId="17" r:id="rId17"/>
    <sheet name="HPL_трудногорючий" sheetId="18" r:id="rId18"/>
    <sheet name="Мультикор Slim Line" sheetId="19" r:id="rId19"/>
    <sheet name="Slim Line Worktops" sheetId="20" r:id="rId20"/>
    <sheet name="Плиты MPB" sheetId="21" r:id="rId21"/>
    <sheet name="Контакты" sheetId="22" r:id="rId22"/>
  </sheets>
  <externalReferences>
    <externalReference r:id="rId25"/>
    <externalReference r:id="rId26"/>
    <externalReference r:id="rId27"/>
  </externalReferences>
  <definedNames>
    <definedName name="_xlnm._FilterDatabase" localSheetId="10" hidden="1">'Invision'!$A$10:$L$45</definedName>
    <definedName name="_xlnm.Print_Area" localSheetId="4">'3D панели_распродажа'!$A$1:$G$15</definedName>
    <definedName name="_xlnm.Print_Area" localSheetId="2">'Corian_листы и мойки'!$A$1:$H$68</definedName>
    <definedName name="_xlnm.Print_Area" localSheetId="16">'HPL_от 1 листа_Express'!$A$1:$L$49</definedName>
    <definedName name="_xlnm.Print_Area" localSheetId="10">'Invision'!$A$1:$K$63</definedName>
    <definedName name="_xlnm.Print_Area" localSheetId="11">'KronoCompact'!$A$1:$F$27</definedName>
    <definedName name="_xlnm.Print_Area" localSheetId="3">'Montelli_листы и мойки'!$A$1:$H$43</definedName>
    <definedName name="_xlnm.Print_Area" localSheetId="0">'Главная'!$A$1:$B$17</definedName>
    <definedName name="_xlnm.Print_Area" localSheetId="21">'Контакты'!$A$1:$D$42</definedName>
    <definedName name="_xlnm.Print_Area" localSheetId="7">'Мойки Silestone'!$A$1:$L$60</definedName>
    <definedName name="_xlnm.Print_Area" localSheetId="14">'пластик HPL'!$A$1:$I$29</definedName>
    <definedName name="_xlnm.Print_Area" localSheetId="6">'плитка Silestone'!$A$1:$G$43</definedName>
  </definedNames>
  <calcPr fullCalcOnLoad="1" refMode="R1C1"/>
</workbook>
</file>

<file path=xl/sharedStrings.xml><?xml version="1.0" encoding="utf-8"?>
<sst xmlns="http://schemas.openxmlformats.org/spreadsheetml/2006/main" count="2171" uniqueCount="1248">
  <si>
    <t>СОДЕРЖАНИЕ</t>
  </si>
  <si>
    <t>клей для акрилового камня</t>
  </si>
  <si>
    <t>кварцевый камень Silestone</t>
  </si>
  <si>
    <t>кварцевая плитка Silestone</t>
  </si>
  <si>
    <t>панели Invision</t>
  </si>
  <si>
    <t>компакт ламинат KronoCompact</t>
  </si>
  <si>
    <t>компакт ламинат KronoPlan</t>
  </si>
  <si>
    <t>пластик HPL</t>
  </si>
  <si>
    <t>Размеры</t>
  </si>
  <si>
    <t>Группа</t>
  </si>
  <si>
    <t>Цена</t>
  </si>
  <si>
    <t>на главную</t>
  </si>
  <si>
    <t>Толщина:</t>
  </si>
  <si>
    <t>Ширина:</t>
  </si>
  <si>
    <t>Длина:</t>
  </si>
  <si>
    <t>1 лист</t>
  </si>
  <si>
    <t>м.кв</t>
  </si>
  <si>
    <t>12 mm</t>
  </si>
  <si>
    <t>760 mm</t>
  </si>
  <si>
    <t>3658 mm</t>
  </si>
  <si>
    <t>6 mm</t>
  </si>
  <si>
    <t>Сопутствующий материал</t>
  </si>
  <si>
    <t>Смотрите виды и характеристики сопутствующих материалов на сайте:</t>
  </si>
  <si>
    <r>
      <t xml:space="preserve">Клей CORIAN </t>
    </r>
    <r>
      <rPr>
        <sz val="9"/>
        <color indexed="8"/>
        <rFont val="Arial Cyr"/>
        <family val="2"/>
      </rPr>
      <t>(50ml)</t>
    </r>
  </si>
  <si>
    <r>
      <t xml:space="preserve">Пистолет для нанесения клея </t>
    </r>
    <r>
      <rPr>
        <sz val="9"/>
        <color indexed="8"/>
        <rFont val="Arial Cyr"/>
        <family val="2"/>
      </rPr>
      <t>(50ml)</t>
    </r>
  </si>
  <si>
    <t>Насадка для смешивания клея</t>
  </si>
  <si>
    <t>(Производитель - компания Cosentino, Испания)</t>
  </si>
  <si>
    <t>толщина</t>
  </si>
  <si>
    <t>группа 1</t>
  </si>
  <si>
    <t>группа 2</t>
  </si>
  <si>
    <t>группа 3</t>
  </si>
  <si>
    <t>группа 4</t>
  </si>
  <si>
    <t>группа 5</t>
  </si>
  <si>
    <t>группа 6</t>
  </si>
  <si>
    <t>12мм</t>
  </si>
  <si>
    <t>20мм</t>
  </si>
  <si>
    <t>30мм</t>
  </si>
  <si>
    <t>стандартные размеры слябов:</t>
  </si>
  <si>
    <t>вес кв.м в толщине:</t>
  </si>
  <si>
    <t>30кг</t>
  </si>
  <si>
    <t>50кг</t>
  </si>
  <si>
    <t>75 кг</t>
  </si>
  <si>
    <t>30x30x1,2      60x30x1,2    60x40x1,2</t>
  </si>
  <si>
    <t>40x40x1,2      60x60x1,2</t>
  </si>
  <si>
    <t>30x30x2,0      60x30x2,0     60x40x2,0</t>
  </si>
  <si>
    <t>40x40x2,0      60x60x2,0</t>
  </si>
  <si>
    <t>упаковка</t>
  </si>
  <si>
    <t>штук в одной упаковке</t>
  </si>
  <si>
    <t>вес кв м, кг</t>
  </si>
  <si>
    <t>вес 1 упаковки</t>
  </si>
  <si>
    <t>30x30x1,2</t>
  </si>
  <si>
    <t>40x40x1,2</t>
  </si>
  <si>
    <t>60x30x1,2</t>
  </si>
  <si>
    <t>60x40x1,2</t>
  </si>
  <si>
    <t>60x60x1,2</t>
  </si>
  <si>
    <t>Мойки SILESTONE®</t>
  </si>
  <si>
    <t>Смотрите виды и характеристики моек Silestone на сайте:</t>
  </si>
  <si>
    <t>Панели INVISION</t>
  </si>
  <si>
    <t>(производитель DesignPanel, Германия)</t>
  </si>
  <si>
    <t>декор</t>
  </si>
  <si>
    <t>наполнение</t>
  </si>
  <si>
    <t>прайсовая группа</t>
  </si>
  <si>
    <t>4мм</t>
  </si>
  <si>
    <t>6мм</t>
  </si>
  <si>
    <t>8мм</t>
  </si>
  <si>
    <t>10мм</t>
  </si>
  <si>
    <t>16мм</t>
  </si>
  <si>
    <t>24мм</t>
  </si>
  <si>
    <t>acai</t>
  </si>
  <si>
    <t>асаи (стебли)</t>
  </si>
  <si>
    <t>alu light</t>
  </si>
  <si>
    <t>камень серо-черный</t>
  </si>
  <si>
    <t>asia 3103</t>
  </si>
  <si>
    <t>рогожка бронзовая</t>
  </si>
  <si>
    <t>bamboo 1-layer (br/or/curry/gr-yel)</t>
  </si>
  <si>
    <t>бамбук 1 слой (коричневый, оранжевый, рыжий, желто-зеленый)</t>
  </si>
  <si>
    <t>bamboo 2-layer</t>
  </si>
  <si>
    <t>бамбук 2 слоя (коричневый, оранжевый, зелено-желтый)</t>
  </si>
  <si>
    <t>beargrass 1-layer</t>
  </si>
  <si>
    <t>трава серозеленая - 1 слой</t>
  </si>
  <si>
    <t>beargrass 2-layer</t>
  </si>
  <si>
    <t>трава серозеленая - 2 слоя</t>
  </si>
  <si>
    <t>birch</t>
  </si>
  <si>
    <t>веточки коричневые с почками</t>
  </si>
  <si>
    <t>blade 1-layer</t>
  </si>
  <si>
    <t>трава зелено-синяя - 1 слой</t>
  </si>
  <si>
    <t>blade 2-layer</t>
  </si>
  <si>
    <t>трава зелено-синяя - 2 слоя</t>
  </si>
  <si>
    <t>corn</t>
  </si>
  <si>
    <t>пшеница</t>
  </si>
  <si>
    <t xml:space="preserve">feather </t>
  </si>
  <si>
    <t>перья черные и белые</t>
  </si>
  <si>
    <t>fern</t>
  </si>
  <si>
    <t>korea paper white</t>
  </si>
  <si>
    <t>корейская бумага белая с дырочками</t>
  </si>
  <si>
    <t>korea paper silver</t>
  </si>
  <si>
    <t>корейская бумага серебристая с дырочками</t>
  </si>
  <si>
    <t>korea paper gold</t>
  </si>
  <si>
    <t>корейская бумага золотая с дырочками</t>
  </si>
  <si>
    <t>lavender</t>
  </si>
  <si>
    <t>соцветия лаванды фиолетовой на стебельках</t>
  </si>
  <si>
    <t>leaves</t>
  </si>
  <si>
    <t>листья белые полупрозрачные с прожилками</t>
  </si>
  <si>
    <t>siam 4301 +4302</t>
  </si>
  <si>
    <t>крупная рогожка</t>
  </si>
  <si>
    <t>matrix</t>
  </si>
  <si>
    <t>переплетение белых нитей</t>
  </si>
  <si>
    <t>stem 1-reihing</t>
  </si>
  <si>
    <t>стебли травы ярко зеленой 1 слой</t>
  </si>
  <si>
    <t>stem 2-reihing</t>
  </si>
  <si>
    <t>стебли травы ярко зеленой 2 слоя</t>
  </si>
  <si>
    <t>techno silver 2140</t>
  </si>
  <si>
    <t>переплетение серебристых нитей</t>
  </si>
  <si>
    <t>thai</t>
  </si>
  <si>
    <t>пучки зеленой травы</t>
  </si>
  <si>
    <t>twist</t>
  </si>
  <si>
    <t>пайтинка редкая из черных нитей</t>
  </si>
  <si>
    <t>weed green/ weed red</t>
  </si>
  <si>
    <t>Минимальный заказ 1 лист  для</t>
  </si>
  <si>
    <t>размеров  листов, мм:</t>
  </si>
  <si>
    <t>1200*2400</t>
  </si>
  <si>
    <t>(2,88 кв м)</t>
  </si>
  <si>
    <t>1450*3000</t>
  </si>
  <si>
    <t>(4,35 кв м)</t>
  </si>
  <si>
    <t>Минимальный заказ 20 листов для</t>
  </si>
  <si>
    <t>1200*2000</t>
  </si>
  <si>
    <t>(2,40 кв м )</t>
  </si>
  <si>
    <t>(можно разные толщины и декоры, но один размер листов)</t>
  </si>
  <si>
    <t>1950*3000</t>
  </si>
  <si>
    <t>(5,85 кв м)</t>
  </si>
  <si>
    <t>1950*3500</t>
  </si>
  <si>
    <t>(6,82 кв м)</t>
  </si>
  <si>
    <t>Система скидок:</t>
  </si>
  <si>
    <t>3-5 листов</t>
  </si>
  <si>
    <t>Город</t>
  </si>
  <si>
    <t>Адрес</t>
  </si>
  <si>
    <t>Телефоны</t>
  </si>
  <si>
    <t>Карта</t>
  </si>
  <si>
    <t>Киев</t>
  </si>
  <si>
    <t>Карта проезда</t>
  </si>
  <si>
    <t>Винница</t>
  </si>
  <si>
    <t>Запорожье</t>
  </si>
  <si>
    <t>ул. Трегубенко, 2</t>
  </si>
  <si>
    <t>Ивано-Франковск</t>
  </si>
  <si>
    <t>ул. Маланюка, 21-А</t>
  </si>
  <si>
    <t>Луцк</t>
  </si>
  <si>
    <t>Полтава</t>
  </si>
  <si>
    <t>ул. Половка, 70</t>
  </si>
  <si>
    <t>Ровно</t>
  </si>
  <si>
    <t>ул. Белая, 83</t>
  </si>
  <si>
    <t>Херсон</t>
  </si>
  <si>
    <t>Хмельницкий</t>
  </si>
  <si>
    <t>Черкассы</t>
  </si>
  <si>
    <t>Кварцевая плитка SILESTONE®</t>
  </si>
  <si>
    <t>Акриловый камень DuPont</t>
  </si>
  <si>
    <t>Акриловый камень. Производитель DuPont</t>
  </si>
  <si>
    <t>Модель</t>
  </si>
  <si>
    <t>Цена, шт.</t>
  </si>
  <si>
    <t xml:space="preserve"> от 5 листов </t>
  </si>
  <si>
    <t>кварцевые мойки Silestone</t>
  </si>
  <si>
    <t>компакт ламинат KronoSiding</t>
  </si>
  <si>
    <t>Ценовая группа</t>
  </si>
  <si>
    <t>12 мм</t>
  </si>
  <si>
    <t>20 мм</t>
  </si>
  <si>
    <t>Смотрите виды и характеристики акрилового камня Corian® на сайте:</t>
  </si>
  <si>
    <t>Мойки DuPont™ Corian®</t>
  </si>
  <si>
    <t>посмотреть модели моек с размерами на сайте</t>
  </si>
  <si>
    <t>мойки производятся в декорах:</t>
  </si>
  <si>
    <t>Bone,   Cameo White,   Glasier White,   Vanilla</t>
  </si>
  <si>
    <t>Посмотреть  акции  на  Corian®!</t>
  </si>
  <si>
    <t>Смотрите виды и характеристики акрилового камня Montelli® на сайте:</t>
  </si>
  <si>
    <t>Мойки DuPont™ Montelli®</t>
  </si>
  <si>
    <r>
      <t>мойки производятся в декоре:</t>
    </r>
    <r>
      <rPr>
        <sz val="10"/>
        <color indexed="18"/>
        <rFont val="Arial Cyr"/>
        <family val="0"/>
      </rPr>
      <t xml:space="preserve"> 701</t>
    </r>
  </si>
  <si>
    <t>акриловый камень и мойки Corian</t>
  </si>
  <si>
    <t>акриловый камень и мойки Montelli</t>
  </si>
  <si>
    <t>Смотрите виды и характеристики кварцевого камня Silestone на сайте</t>
  </si>
  <si>
    <t>Смотрите виды и характеристики панелей INVISION на сайте</t>
  </si>
  <si>
    <t>N - 1400*3060мм (площадь листа - 4,28 кв. м)</t>
  </si>
  <si>
    <t>J - 1590*3250мм (площадь листа - 5,17 кв. м)</t>
  </si>
  <si>
    <t>курс</t>
  </si>
  <si>
    <r>
      <t xml:space="preserve">Цены указаны в </t>
    </r>
    <r>
      <rPr>
        <b/>
        <sz val="10"/>
        <color indexed="63"/>
        <rFont val="Arial"/>
        <family val="2"/>
      </rPr>
      <t>ГРИВНАХ</t>
    </r>
    <r>
      <rPr>
        <sz val="10"/>
        <color indexed="63"/>
        <rFont val="Arial"/>
        <family val="2"/>
      </rPr>
      <t xml:space="preserve"> с НДС</t>
    </r>
  </si>
  <si>
    <t>Розница кв м панелей INVISION в ГРИВНАХ с НДС</t>
  </si>
  <si>
    <t>*</t>
  </si>
  <si>
    <t>модели доступные также в декоре Design White</t>
  </si>
  <si>
    <t>**</t>
  </si>
  <si>
    <t>модели производятся только в декоре Glacier White</t>
  </si>
  <si>
    <t>965*</t>
  </si>
  <si>
    <t>966*</t>
  </si>
  <si>
    <t>967*</t>
  </si>
  <si>
    <t>969*</t>
  </si>
  <si>
    <t>970*</t>
  </si>
  <si>
    <r>
      <t>Цены указанны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</t>
    </r>
    <r>
      <rPr>
        <b/>
        <sz val="10"/>
        <color indexed="59"/>
        <rFont val="Arial Cyr"/>
        <family val="0"/>
      </rPr>
      <t>ГРИВНАХ</t>
    </r>
    <r>
      <rPr>
        <sz val="10"/>
        <color indexed="59"/>
        <rFont val="Arial Cyr"/>
        <family val="2"/>
      </rPr>
      <t xml:space="preserve"> с НДС</t>
    </r>
  </si>
  <si>
    <t>Кривой Рог</t>
  </si>
  <si>
    <t>Ужгород</t>
  </si>
  <si>
    <t>ул. Берчени, 86</t>
  </si>
  <si>
    <t>Чернигов</t>
  </si>
  <si>
    <t>пластик HPL от 1 листа</t>
  </si>
  <si>
    <t>DEKTON</t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</si>
  <si>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</si>
  <si>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</si>
  <si>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</si>
  <si>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</si>
  <si>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</si>
  <si>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</si>
  <si>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просп. Московский, 91</t>
  </si>
  <si>
    <t>ул. Ровенская, 76-А</t>
  </si>
  <si>
    <t>ул. Нефтяников, 2-А</t>
  </si>
  <si>
    <t>Компакт ламинат KronoCompact</t>
  </si>
  <si>
    <t>Производитель - KronoSpan Pustkow, Польша</t>
  </si>
  <si>
    <t>Смотрите виды и характеристики компакт ламината KronoCompact на сайте:</t>
  </si>
  <si>
    <t>стержень</t>
  </si>
  <si>
    <t>черный</t>
  </si>
  <si>
    <t>Г4</t>
  </si>
  <si>
    <t>Толщина</t>
  </si>
  <si>
    <t>Декоры:</t>
  </si>
  <si>
    <t>Пластик HPL</t>
  </si>
  <si>
    <t>Смотрите виды и характеристики пластика HPL на сайте:</t>
  </si>
  <si>
    <t>http://plastics.ua/dom/products/Пластик HPL</t>
  </si>
  <si>
    <t>Прайс на пластик HPL (стандартный и постформируемый),</t>
  </si>
  <si>
    <t>толщина, мм</t>
  </si>
  <si>
    <t xml:space="preserve">Прайс на пластик HPL (производитель Kronospan) </t>
  </si>
  <si>
    <r>
      <t xml:space="preserve">возможность заказывать </t>
    </r>
    <r>
      <rPr>
        <b/>
        <sz val="11"/>
        <color indexed="18"/>
        <rFont val="Arial Cyr"/>
        <family val="0"/>
      </rPr>
      <t>от 1 листа,</t>
    </r>
    <r>
      <rPr>
        <sz val="11"/>
        <color indexed="18"/>
        <rFont val="Arial Cyr"/>
        <family val="0"/>
      </rPr>
      <t xml:space="preserve"> толщина </t>
    </r>
    <r>
      <rPr>
        <b/>
        <sz val="11"/>
        <color indexed="18"/>
        <rFont val="Arial Cyr"/>
        <family val="0"/>
      </rPr>
      <t>0,8 мм</t>
    </r>
    <r>
      <rPr>
        <sz val="11"/>
        <color indexed="18"/>
        <rFont val="Arial Cyr"/>
        <family val="0"/>
      </rPr>
      <t xml:space="preserve">, </t>
    </r>
    <r>
      <rPr>
        <b/>
        <sz val="11"/>
        <color indexed="18"/>
        <rFont val="Arial Cyr"/>
        <family val="0"/>
      </rPr>
      <t>стандарт</t>
    </r>
  </si>
  <si>
    <t>Коды декоров по ценовым группам:</t>
  </si>
  <si>
    <t>coffee</t>
  </si>
  <si>
    <t>кофе</t>
  </si>
  <si>
    <t>drops</t>
  </si>
  <si>
    <t>капли</t>
  </si>
  <si>
    <t>папоротник темно-зеленый</t>
  </si>
  <si>
    <t>glitter yellow</t>
  </si>
  <si>
    <t>ярко желтые пузыри</t>
  </si>
  <si>
    <t>jungle 1-layer</t>
  </si>
  <si>
    <t>трава яркозеленая 1 слой</t>
  </si>
  <si>
    <t>jungle 2-layer</t>
  </si>
  <si>
    <t>трава яркозеленая 2 слоя</t>
  </si>
  <si>
    <t>fabric 0</t>
  </si>
  <si>
    <t>ткань 0</t>
  </si>
  <si>
    <t>fabric 1</t>
  </si>
  <si>
    <t>ткань 1</t>
  </si>
  <si>
    <t>fabric 2</t>
  </si>
  <si>
    <t>ткань 2</t>
  </si>
  <si>
    <t>fabric 3</t>
  </si>
  <si>
    <t>ткань 3</t>
  </si>
  <si>
    <t>fabric 4</t>
  </si>
  <si>
    <t>ткань 4</t>
  </si>
  <si>
    <t>fabric 5</t>
  </si>
  <si>
    <t>ткань 5</t>
  </si>
  <si>
    <t>сорняк салатовый/ сорняк красный</t>
  </si>
  <si>
    <t>3D панели DuPont</t>
  </si>
  <si>
    <t>Название:</t>
  </si>
  <si>
    <t>Fibonacci</t>
  </si>
  <si>
    <t>720 mm</t>
  </si>
  <si>
    <t>2200 mm</t>
  </si>
  <si>
    <t xml:space="preserve">Fourier </t>
  </si>
  <si>
    <t>2485 mm</t>
  </si>
  <si>
    <t xml:space="preserve">Voronoi </t>
  </si>
  <si>
    <t>2450 mm</t>
  </si>
  <si>
    <r>
      <t xml:space="preserve">Цены указанны за </t>
    </r>
    <r>
      <rPr>
        <b/>
        <sz val="10"/>
        <color indexed="63"/>
        <rFont val="Arial Cyr"/>
        <family val="0"/>
      </rPr>
      <t>кв м</t>
    </r>
    <r>
      <rPr>
        <sz val="10"/>
        <color indexed="63"/>
        <rFont val="Arial Cyr"/>
        <family val="2"/>
      </rPr>
      <t xml:space="preserve"> в </t>
    </r>
    <r>
      <rPr>
        <b/>
        <sz val="10"/>
        <color indexed="63"/>
        <rFont val="Arial Cyr"/>
        <family val="0"/>
      </rPr>
      <t>ГРИВНАХ</t>
    </r>
    <r>
      <rPr>
        <sz val="10"/>
        <color indexed="63"/>
        <rFont val="Arial Cyr"/>
        <family val="2"/>
      </rPr>
      <t xml:space="preserve"> с НДС</t>
    </r>
  </si>
  <si>
    <r>
      <t xml:space="preserve">Цены указаны за </t>
    </r>
    <r>
      <rPr>
        <b/>
        <sz val="10"/>
        <rFont val="Arial Cyr"/>
        <family val="0"/>
      </rPr>
      <t>кв.м</t>
    </r>
    <r>
      <rPr>
        <sz val="10"/>
        <rFont val="Arial Cyr"/>
        <family val="2"/>
      </rPr>
      <t xml:space="preserve">.  в </t>
    </r>
    <r>
      <rPr>
        <b/>
        <sz val="10"/>
        <rFont val="Arial Cyr"/>
        <family val="0"/>
      </rPr>
      <t>ГРИВНАХ</t>
    </r>
    <r>
      <rPr>
        <sz val="10"/>
        <rFont val="Arial Cyr"/>
        <family val="2"/>
      </rPr>
      <t xml:space="preserve"> с НДС</t>
    </r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</si>
  <si>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</si>
  <si>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</si>
  <si>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</si>
  <si>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</si>
  <si>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</si>
  <si>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</si>
  <si>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</si>
  <si>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</si>
  <si>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</si>
  <si>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</si>
  <si>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Киевская, 116-А</t>
  </si>
  <si>
    <t>Грузия</t>
  </si>
  <si>
    <t>Тбилиси</t>
  </si>
  <si>
    <t>Батуми</t>
  </si>
  <si>
    <t>ул. Сухуми, 3</t>
  </si>
  <si>
    <t xml:space="preserve">Прайс на компакт-ламинат с цветным стержнем (производитель Kronospan) </t>
  </si>
  <si>
    <t>Цвет</t>
  </si>
  <si>
    <t xml:space="preserve">Прайс на пластик HPL трудногорючий (производитель Kronospan) </t>
  </si>
  <si>
    <t>Стоимость кв. м с НДС, в ГРН</t>
  </si>
  <si>
    <r>
      <t>Цены указанны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с НДС</t>
    </r>
  </si>
  <si>
    <t>в ГРН за кв. м с НДС</t>
  </si>
  <si>
    <t>Цена в ГРН с НДС</t>
  </si>
  <si>
    <t>Розничные цены на  плитку ( ГРН/м²)  SILESTONE® в глянцевой текстуре поверхности (polished)</t>
  </si>
  <si>
    <t>тел.: 0 (56)797 62 26</t>
  </si>
  <si>
    <t>тел.: 0 (342) 54 25 52</t>
  </si>
  <si>
    <t>тел.: 0 (522) 27 29 90</t>
  </si>
  <si>
    <t>тел.: 0 (32) 298 44 98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</si>
  <si>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</si>
  <si>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</si>
  <si>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</si>
  <si>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</si>
  <si>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</si>
  <si>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тел.: 0 (372) 90 06 09</t>
  </si>
  <si>
    <t>Бельцы</t>
  </si>
  <si>
    <t>Комрат</t>
  </si>
  <si>
    <t>ул. Третьякова, 17В</t>
  </si>
  <si>
    <t>ул. Чантладзе, 3-А</t>
  </si>
  <si>
    <r>
      <t>Цены указаны в ГРН</t>
    </r>
    <r>
      <rPr>
        <b/>
        <sz val="11"/>
        <color indexed="63"/>
        <rFont val="Arial Cyr"/>
        <family val="0"/>
      </rPr>
      <t xml:space="preserve"> </t>
    </r>
    <r>
      <rPr>
        <sz val="11"/>
        <color indexed="63"/>
        <rFont val="Arial Cyr"/>
        <family val="2"/>
      </rPr>
      <t>с НДС</t>
    </r>
  </si>
  <si>
    <t>One</t>
  </si>
  <si>
    <t>Due Small</t>
  </si>
  <si>
    <t xml:space="preserve">DUE Big </t>
  </si>
  <si>
    <t>DUE XL</t>
  </si>
  <si>
    <t>Размер</t>
  </si>
  <si>
    <t>542*442*175</t>
  </si>
  <si>
    <t>400*370*175</t>
  </si>
  <si>
    <t>540*400*175</t>
  </si>
  <si>
    <t>670*435*230</t>
  </si>
  <si>
    <t>Aluminio Nube</t>
  </si>
  <si>
    <t>-</t>
  </si>
  <si>
    <t>Arden Blue</t>
  </si>
  <si>
    <t>Blanco Capri</t>
  </si>
  <si>
    <t>Blanco Norte</t>
  </si>
  <si>
    <t>Cemento Spa</t>
  </si>
  <si>
    <t>Coral Clay</t>
  </si>
  <si>
    <t>Gris Expo</t>
  </si>
  <si>
    <t>Marengo</t>
  </si>
  <si>
    <t>Negro Tebas</t>
  </si>
  <si>
    <t>Niebla</t>
  </si>
  <si>
    <t>Noka</t>
  </si>
  <si>
    <t>White Storm</t>
  </si>
  <si>
    <t>Amazon</t>
  </si>
  <si>
    <t>Blanco Maple</t>
  </si>
  <si>
    <t>Blanco Stellar</t>
  </si>
  <si>
    <t>Haiku</t>
  </si>
  <si>
    <t>Kensho</t>
  </si>
  <si>
    <t>Rosso Monza</t>
  </si>
  <si>
    <t>Tigris Sand</t>
  </si>
  <si>
    <t>Unsui</t>
  </si>
  <si>
    <t>Yukon</t>
  </si>
  <si>
    <t>Blanco Zeus</t>
  </si>
  <si>
    <t>Carbono</t>
  </si>
  <si>
    <t>Helix</t>
  </si>
  <si>
    <t>Lagoon</t>
  </si>
  <si>
    <t>Lyra</t>
  </si>
  <si>
    <t>Merope</t>
  </si>
  <si>
    <t>Pulsar</t>
  </si>
  <si>
    <t>Vortium</t>
  </si>
  <si>
    <t>White Platinum</t>
  </si>
  <si>
    <t>В комплект мойки входит :</t>
  </si>
  <si>
    <t>дренажный вентиль</t>
  </si>
  <si>
    <t>перелив</t>
  </si>
  <si>
    <t>силикон в цвет мойки</t>
  </si>
  <si>
    <t>шаблон для выреза отвертсвия на столешнице</t>
  </si>
  <si>
    <t>Черновцы</t>
  </si>
  <si>
    <t>Тернополь</t>
  </si>
  <si>
    <t>тел.: 0 (352) 42 54 38</t>
  </si>
  <si>
    <t>5310 **</t>
  </si>
  <si>
    <t>5510 **</t>
  </si>
  <si>
    <t>7110 **</t>
  </si>
  <si>
    <t>7120 **</t>
  </si>
  <si>
    <t>7210*</t>
  </si>
  <si>
    <t>7220*</t>
  </si>
  <si>
    <t>7410*</t>
  </si>
  <si>
    <t>7420*</t>
  </si>
  <si>
    <t>7310*</t>
  </si>
  <si>
    <t>7320*</t>
  </si>
  <si>
    <t>7330*</t>
  </si>
  <si>
    <t>7510*</t>
  </si>
  <si>
    <t>7520*</t>
  </si>
  <si>
    <t>7530*</t>
  </si>
  <si>
    <t>7610*</t>
  </si>
  <si>
    <t>7710*</t>
  </si>
  <si>
    <t>7720*</t>
  </si>
  <si>
    <t>7730*</t>
  </si>
  <si>
    <t>Мойки с металлическим дном</t>
  </si>
  <si>
    <t>0-1</t>
  </si>
  <si>
    <t xml:space="preserve"> </t>
  </si>
  <si>
    <t>ул. Ярослава Мудрого, 68, оф. 217</t>
  </si>
  <si>
    <t>просп. Химиков, 3</t>
  </si>
  <si>
    <t>Кропивницкий</t>
  </si>
  <si>
    <t>тел.: 0 (57) 750 63 68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</si>
  <si>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ГРИВНАХ</t>
    </r>
    <r>
      <rPr>
        <sz val="10"/>
        <color indexed="59"/>
        <rFont val="Arial"/>
        <family val="2"/>
      </rPr>
      <t xml:space="preserve"> с НДС</t>
    </r>
  </si>
  <si>
    <t>ГРН м2</t>
  </si>
  <si>
    <t>Кратность паллеты/плит</t>
  </si>
  <si>
    <t>толщина/класс горючести</t>
  </si>
  <si>
    <t xml:space="preserve"> Срок производства и доставки на склад в г. Киев 6-7 недель</t>
  </si>
  <si>
    <t>Коллекция</t>
  </si>
  <si>
    <t>Декор</t>
  </si>
  <si>
    <t>0110 SM</t>
  </si>
  <si>
    <t>0101 PE</t>
  </si>
  <si>
    <t>0112 PE</t>
  </si>
  <si>
    <t>0121 BS</t>
  </si>
  <si>
    <t>0125 BS</t>
  </si>
  <si>
    <t>0132 BS</t>
  </si>
  <si>
    <t>0134 BS</t>
  </si>
  <si>
    <t>0149 BS</t>
  </si>
  <si>
    <t>0162 PE</t>
  </si>
  <si>
    <t>0164 PE</t>
  </si>
  <si>
    <t>0171 PE</t>
  </si>
  <si>
    <t>0182 BS</t>
  </si>
  <si>
    <t>0190 PE</t>
  </si>
  <si>
    <t>0191 SU</t>
  </si>
  <si>
    <t>0197 SU</t>
  </si>
  <si>
    <t>0244 SU</t>
  </si>
  <si>
    <t>0245 SU</t>
  </si>
  <si>
    <t>0301 SU</t>
  </si>
  <si>
    <t>0514 PE</t>
  </si>
  <si>
    <t>0515 PE</t>
  </si>
  <si>
    <t>0522 PE</t>
  </si>
  <si>
    <t>0540 PE</t>
  </si>
  <si>
    <t>0564 PE</t>
  </si>
  <si>
    <t>0859 PE</t>
  </si>
  <si>
    <t>0881 PE</t>
  </si>
  <si>
    <t>1700 PE</t>
  </si>
  <si>
    <t>5515 BS</t>
  </si>
  <si>
    <t>5519 BS</t>
  </si>
  <si>
    <t>5981 BS</t>
  </si>
  <si>
    <t>5982 BS</t>
  </si>
  <si>
    <t>6299 BS</t>
  </si>
  <si>
    <t>7031 BS</t>
  </si>
  <si>
    <t>7045 SU</t>
  </si>
  <si>
    <t>7063 SU</t>
  </si>
  <si>
    <t>7113 BS</t>
  </si>
  <si>
    <t>7123 BS</t>
  </si>
  <si>
    <t>7166 BS</t>
  </si>
  <si>
    <t>7167 SU</t>
  </si>
  <si>
    <t>7176 BS</t>
  </si>
  <si>
    <t>7179 BS</t>
  </si>
  <si>
    <t>7180 BS</t>
  </si>
  <si>
    <t>7184 BS</t>
  </si>
  <si>
    <t>7190 BS</t>
  </si>
  <si>
    <t>8100 SM</t>
  </si>
  <si>
    <t>8348 PE</t>
  </si>
  <si>
    <t>8533 BS</t>
  </si>
  <si>
    <t>8534 BS</t>
  </si>
  <si>
    <t>8536 BS</t>
  </si>
  <si>
    <t>8681 SU</t>
  </si>
  <si>
    <t>8685 BS</t>
  </si>
  <si>
    <t>8984 BS</t>
  </si>
  <si>
    <t>8996 BS</t>
  </si>
  <si>
    <t>9551 BS</t>
  </si>
  <si>
    <t>9561 BS</t>
  </si>
  <si>
    <t>K096 SU</t>
  </si>
  <si>
    <t>K097 SU</t>
  </si>
  <si>
    <t>K098 SU</t>
  </si>
  <si>
    <t>K099 SU</t>
  </si>
  <si>
    <t>K100 SU</t>
  </si>
  <si>
    <t>Contempo</t>
  </si>
  <si>
    <t>4298 SU</t>
  </si>
  <si>
    <t>4299 SU</t>
  </si>
  <si>
    <t>5501 SN</t>
  </si>
  <si>
    <t>5527 SN</t>
  </si>
  <si>
    <t>5529 SN</t>
  </si>
  <si>
    <t>7648 SN</t>
  </si>
  <si>
    <t>8508 SN</t>
  </si>
  <si>
    <t>8509 SN</t>
  </si>
  <si>
    <t>8547 SN</t>
  </si>
  <si>
    <t>8548 SN</t>
  </si>
  <si>
    <t>K010 SN</t>
  </si>
  <si>
    <t>K011 SN</t>
  </si>
  <si>
    <t xml:space="preserve">                                 </t>
  </si>
  <si>
    <t>K021 SN</t>
  </si>
  <si>
    <t>K022 SN</t>
  </si>
  <si>
    <t>K079 PW</t>
  </si>
  <si>
    <t>K080 PW</t>
  </si>
  <si>
    <t>K081 PW</t>
  </si>
  <si>
    <t>K082 PW</t>
  </si>
  <si>
    <t>K083 SN</t>
  </si>
  <si>
    <t>K084 SN</t>
  </si>
  <si>
    <t>K085 PW</t>
  </si>
  <si>
    <t>K086 PW</t>
  </si>
  <si>
    <t>K087 PW</t>
  </si>
  <si>
    <t>K088 PW</t>
  </si>
  <si>
    <t>K089 PW</t>
  </si>
  <si>
    <t>K105 PW</t>
  </si>
  <si>
    <t>K107 PW</t>
  </si>
  <si>
    <t>K108 SU</t>
  </si>
  <si>
    <t>Standard</t>
  </si>
  <si>
    <t>0344 PR</t>
  </si>
  <si>
    <t>0375 PR</t>
  </si>
  <si>
    <t>0381 PR</t>
  </si>
  <si>
    <t>0481 BS</t>
  </si>
  <si>
    <t>0729 PR</t>
  </si>
  <si>
    <t>0740 PR</t>
  </si>
  <si>
    <t>0854 BS</t>
  </si>
  <si>
    <t>1715 BS</t>
  </si>
  <si>
    <t>1912 BS</t>
  </si>
  <si>
    <t>3025 SN</t>
  </si>
  <si>
    <t>5194 SN</t>
  </si>
  <si>
    <t>5500 SU</t>
  </si>
  <si>
    <t>8361 SN</t>
  </si>
  <si>
    <t>8362 SN</t>
  </si>
  <si>
    <t>8431 SN</t>
  </si>
  <si>
    <t>8622 PR</t>
  </si>
  <si>
    <t>8656 SN</t>
  </si>
  <si>
    <t>8657 SN</t>
  </si>
  <si>
    <t>8921 PR</t>
  </si>
  <si>
    <t>8925 BS</t>
  </si>
  <si>
    <t>8953 SU</t>
  </si>
  <si>
    <t>8995 SN</t>
  </si>
  <si>
    <t>9455 PR</t>
  </si>
  <si>
    <t>9614 BS</t>
  </si>
  <si>
    <t>9763 BS</t>
  </si>
  <si>
    <t>K001 PW</t>
  </si>
  <si>
    <t>K002 PW</t>
  </si>
  <si>
    <t>K003 PW</t>
  </si>
  <si>
    <t>K004 PW</t>
  </si>
  <si>
    <t>K005 PW</t>
  </si>
  <si>
    <t>K006 PW</t>
  </si>
  <si>
    <t>K007 PW</t>
  </si>
  <si>
    <t>K018 PW</t>
  </si>
  <si>
    <t>K019 PW</t>
  </si>
  <si>
    <t>K020 PW</t>
  </si>
  <si>
    <t>K076 PW</t>
  </si>
  <si>
    <t>K077 PW</t>
  </si>
  <si>
    <t>K078 PW</t>
  </si>
  <si>
    <t>K090 PW</t>
  </si>
  <si>
    <t>4298 UE</t>
  </si>
  <si>
    <t>4299 UE</t>
  </si>
  <si>
    <t>5527 FP</t>
  </si>
  <si>
    <t>7045 RS</t>
  </si>
  <si>
    <t>8685 RS</t>
  </si>
  <si>
    <t>K002 FP</t>
  </si>
  <si>
    <t>K003 FP</t>
  </si>
  <si>
    <t>K013 SU</t>
  </si>
  <si>
    <t>K016 SU</t>
  </si>
  <si>
    <t>K023 SQ</t>
  </si>
  <si>
    <t>K024 SU</t>
  </si>
  <si>
    <t>K025 SU</t>
  </si>
  <si>
    <t>K025 SQ</t>
  </si>
  <si>
    <t>K026 SU</t>
  </si>
  <si>
    <t>K027 SU</t>
  </si>
  <si>
    <t>K028 SU</t>
  </si>
  <si>
    <t>K029 SU</t>
  </si>
  <si>
    <t>K030 SU</t>
  </si>
  <si>
    <t>K091 FP</t>
  </si>
  <si>
    <t>K092 FP</t>
  </si>
  <si>
    <t>K095 SU</t>
  </si>
  <si>
    <t>K102 SU</t>
  </si>
  <si>
    <t>K201 RS</t>
  </si>
  <si>
    <t>K202 RS</t>
  </si>
  <si>
    <t>K203 PE</t>
  </si>
  <si>
    <t>K204 PE</t>
  </si>
  <si>
    <t>K205 RS</t>
  </si>
  <si>
    <t>K206 PE</t>
  </si>
  <si>
    <t>K207 RS</t>
  </si>
  <si>
    <t>K209 RS</t>
  </si>
  <si>
    <t>Color I</t>
  </si>
  <si>
    <t>Color II</t>
  </si>
  <si>
    <t>Минимальный заказ/листов</t>
  </si>
  <si>
    <t>3050х1320</t>
  </si>
  <si>
    <t>5600х2040</t>
  </si>
  <si>
    <t>4200х1320</t>
  </si>
  <si>
    <t>0171 MG</t>
  </si>
  <si>
    <t>0190 MG</t>
  </si>
  <si>
    <t>0191 MG</t>
  </si>
  <si>
    <t>0514 MG</t>
  </si>
  <si>
    <t>5981 MG</t>
  </si>
  <si>
    <t>6299 MG</t>
  </si>
  <si>
    <t>7045 MG</t>
  </si>
  <si>
    <t>8533 MG</t>
  </si>
  <si>
    <t>8685 MG</t>
  </si>
  <si>
    <t>0551 BS</t>
  </si>
  <si>
    <t>7167 BS</t>
  </si>
  <si>
    <t>8361SN</t>
  </si>
  <si>
    <t>K008 PW</t>
  </si>
  <si>
    <t>K009 PW</t>
  </si>
  <si>
    <t>K012 SU</t>
  </si>
  <si>
    <t>K014 SU</t>
  </si>
  <si>
    <t>K015 PW</t>
  </si>
  <si>
    <t>K016 PW</t>
  </si>
  <si>
    <t>K017 PW</t>
  </si>
  <si>
    <t>K208 RS</t>
  </si>
  <si>
    <t>K210 CR</t>
  </si>
  <si>
    <t>K105 FP</t>
  </si>
  <si>
    <t>K107 FP</t>
  </si>
  <si>
    <t>K200 RS</t>
  </si>
  <si>
    <t>K093 SL</t>
  </si>
  <si>
    <t>K094 SL</t>
  </si>
  <si>
    <t>K103 SL</t>
  </si>
  <si>
    <t>K104 SL</t>
  </si>
  <si>
    <t>K217 GG</t>
  </si>
  <si>
    <t>K218 GG</t>
  </si>
  <si>
    <t>0,8 мм, стандарт</t>
  </si>
  <si>
    <t>Формат:</t>
  </si>
  <si>
    <t>Минимальный заказ:</t>
  </si>
  <si>
    <t>Группа 1</t>
  </si>
  <si>
    <t>Группа 2</t>
  </si>
  <si>
    <t>7166 MG</t>
  </si>
  <si>
    <t>Группа 3</t>
  </si>
  <si>
    <t>Группа 4</t>
  </si>
  <si>
    <t>Группа 5</t>
  </si>
  <si>
    <t>0190 AF</t>
  </si>
  <si>
    <t>4771 AF</t>
  </si>
  <si>
    <t>Декор/толщина</t>
  </si>
  <si>
    <t>1,2 мм</t>
  </si>
  <si>
    <t>1,4 мм</t>
  </si>
  <si>
    <t>2,5 мм</t>
  </si>
  <si>
    <t>Минимальный заказ</t>
  </si>
  <si>
    <t>Формат листа</t>
  </si>
  <si>
    <t>K023 SU</t>
  </si>
  <si>
    <t>Плиты MPB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</si>
  <si>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грн</t>
    </r>
    <r>
      <rPr>
        <sz val="10"/>
        <color indexed="59"/>
        <rFont val="Arial"/>
        <family val="2"/>
      </rPr>
      <t xml:space="preserve"> с НДС</t>
    </r>
  </si>
  <si>
    <t>грн/м2</t>
  </si>
  <si>
    <t>0101, 0164, 0182, 0191/BS</t>
  </si>
  <si>
    <t>2800х1250 мм</t>
  </si>
  <si>
    <t>Минимальный заказ - 30 листов</t>
  </si>
  <si>
    <t>* Снимается с произодства</t>
  </si>
  <si>
    <t>По наличию уточнять у менеджеров</t>
  </si>
  <si>
    <t>Текстура</t>
  </si>
  <si>
    <t>matt</t>
  </si>
  <si>
    <t>Xgloss</t>
  </si>
  <si>
    <t>Grip +</t>
  </si>
  <si>
    <t>4 мм</t>
  </si>
  <si>
    <t>8 мм</t>
  </si>
  <si>
    <t>30 мм</t>
  </si>
  <si>
    <t>Blanc Concrete</t>
  </si>
  <si>
    <t>Sirocco</t>
  </si>
  <si>
    <t>I</t>
  </si>
  <si>
    <t>Danae</t>
  </si>
  <si>
    <t>Edora</t>
  </si>
  <si>
    <t>Fossil</t>
  </si>
  <si>
    <t>Keon</t>
  </si>
  <si>
    <t>Keranium</t>
  </si>
  <si>
    <t>Nayla</t>
  </si>
  <si>
    <r>
      <t>Sasea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new!</t>
    </r>
  </si>
  <si>
    <t>Sirius</t>
  </si>
  <si>
    <t>II</t>
  </si>
  <si>
    <t>Kelya</t>
  </si>
  <si>
    <t>Nilium</t>
  </si>
  <si>
    <t>Orix</t>
  </si>
  <si>
    <t>Radium</t>
  </si>
  <si>
    <t>Trilium</t>
  </si>
  <si>
    <t>Vienna</t>
  </si>
  <si>
    <t>III</t>
  </si>
  <si>
    <t>Aura 15</t>
  </si>
  <si>
    <t>Kairos</t>
  </si>
  <si>
    <t>Opera</t>
  </si>
  <si>
    <t>Zenith</t>
  </si>
  <si>
    <t>IV</t>
  </si>
  <si>
    <t>Aura 15 bookmatch</t>
  </si>
  <si>
    <t>Halo</t>
  </si>
  <si>
    <t>Natura 18</t>
  </si>
  <si>
    <t>Текстуры:</t>
  </si>
  <si>
    <t>матовая</t>
  </si>
  <si>
    <t>текстурная</t>
  </si>
  <si>
    <t>вельвет</t>
  </si>
  <si>
    <t>суперглянец</t>
  </si>
  <si>
    <t>Dekton Grip, анти скользящее решение для влажных помещений</t>
  </si>
  <si>
    <r>
      <rPr>
        <b/>
        <sz val="10"/>
        <color indexed="18"/>
        <rFont val="Arial Cyr"/>
        <family val="0"/>
      </rPr>
      <t xml:space="preserve">ориентировочный размер слябов: </t>
    </r>
    <r>
      <rPr>
        <sz val="10"/>
        <color indexed="18"/>
        <rFont val="Arial Cyr"/>
        <family val="0"/>
      </rPr>
      <t xml:space="preserve"> 3200*1440мм (4,61 кв. м)</t>
    </r>
  </si>
  <si>
    <r>
      <rPr>
        <b/>
        <sz val="10"/>
        <color indexed="18"/>
        <rFont val="Arial Cyr"/>
        <family val="0"/>
      </rPr>
      <t xml:space="preserve">ориентировочный вес кв м в толщинах:  </t>
    </r>
    <r>
      <rPr>
        <sz val="10"/>
        <color indexed="18"/>
        <rFont val="Arial Cyr"/>
        <family val="0"/>
      </rPr>
      <t xml:space="preserve">                                                                                                         8мм - 21кг,    12мм - 32кг,    20мм - 53 кг,    30мм - 75 кг</t>
    </r>
  </si>
  <si>
    <t>Покрытие</t>
  </si>
  <si>
    <t>глянец</t>
  </si>
  <si>
    <t xml:space="preserve">мат </t>
  </si>
  <si>
    <t>вулкано</t>
  </si>
  <si>
    <t>бетон</t>
  </si>
  <si>
    <t>Blanco City</t>
  </si>
  <si>
    <t>N</t>
  </si>
  <si>
    <t>J</t>
  </si>
  <si>
    <t>Blanco Maple 14</t>
  </si>
  <si>
    <t>Blanco Norte 14</t>
  </si>
  <si>
    <t>Ironbark</t>
  </si>
  <si>
    <r>
      <t xml:space="preserve">Miami White 17              </t>
    </r>
    <r>
      <rPr>
        <b/>
        <sz val="10"/>
        <color indexed="10"/>
        <rFont val="Arial Cyr"/>
        <family val="0"/>
      </rPr>
      <t>заказ</t>
    </r>
  </si>
  <si>
    <t>Negro Tebas 18</t>
  </si>
  <si>
    <r>
      <t xml:space="preserve">Niebla                                   </t>
    </r>
    <r>
      <rPr>
        <b/>
        <sz val="10"/>
        <color indexed="10"/>
        <rFont val="Arial Cyr"/>
        <family val="0"/>
      </rPr>
      <t>!</t>
    </r>
  </si>
  <si>
    <t>Bianco Rivers</t>
  </si>
  <si>
    <t>Blanco Stellar 13</t>
  </si>
  <si>
    <t>Negro Stellar</t>
  </si>
  <si>
    <r>
      <t xml:space="preserve">White Arabesque           </t>
    </r>
    <r>
      <rPr>
        <b/>
        <sz val="10"/>
        <color indexed="10"/>
        <rFont val="Arial Cyr"/>
        <family val="0"/>
      </rPr>
      <t>заказ</t>
    </r>
  </si>
  <si>
    <t>White Storm 14</t>
  </si>
  <si>
    <t>BlancoZeus</t>
  </si>
  <si>
    <t>Charcoal Soapstone</t>
  </si>
  <si>
    <t>Copper Mist</t>
  </si>
  <si>
    <t>Iconic Black</t>
  </si>
  <si>
    <r>
      <t xml:space="preserve">Lusso   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</si>
  <si>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Ariel                             </t>
    </r>
    <r>
      <rPr>
        <b/>
        <sz val="10"/>
        <color indexed="10"/>
        <rFont val="Arial Cyr"/>
        <family val="0"/>
      </rPr>
      <t xml:space="preserve"> заказ</t>
    </r>
  </si>
  <si>
    <t>Eternal Marquina</t>
  </si>
  <si>
    <t>Eternal Serena</t>
  </si>
  <si>
    <t>Eternal Statuario</t>
  </si>
  <si>
    <r>
      <t xml:space="preserve">Ocean Jasper          </t>
    </r>
    <r>
      <rPr>
        <b/>
        <sz val="10"/>
        <color indexed="10"/>
        <rFont val="Arial Cyr"/>
        <family val="0"/>
      </rPr>
      <t xml:space="preserve">      заказ</t>
    </r>
  </si>
  <si>
    <r>
      <t xml:space="preserve">Ocean Storm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</si>
  <si>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Pacifica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</si>
  <si>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Pietra        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</si>
  <si>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Sienna Ridge 12            </t>
    </r>
    <r>
      <rPr>
        <b/>
        <sz val="10"/>
        <color indexed="10"/>
        <rFont val="Arial Cyr"/>
        <family val="0"/>
      </rPr>
      <t xml:space="preserve"> заказ   </t>
    </r>
  </si>
  <si>
    <t>Eternal Calacatta Gold</t>
  </si>
  <si>
    <t>ВАЖНО!!</t>
  </si>
  <si>
    <t>Для структур Мат и Вулкано стоимость следующая:</t>
  </si>
  <si>
    <t>Обозначения:</t>
  </si>
  <si>
    <t>* - необходимо уточнять доступный формат сляба</t>
  </si>
  <si>
    <r>
      <t>заказ</t>
    </r>
    <r>
      <rPr>
        <sz val="10"/>
        <rFont val="Arial Cyr"/>
        <family val="2"/>
      </rPr>
      <t xml:space="preserve"> - не складская позиция, под заказ</t>
    </r>
  </si>
  <si>
    <r>
      <t>!</t>
    </r>
    <r>
      <rPr>
        <sz val="10"/>
        <rFont val="Arial Cyr"/>
        <family val="2"/>
      </rPr>
      <t xml:space="preserve"> - товар есть на складе, по окончанию на сколаде будет переведен в категорию </t>
    </r>
    <r>
      <rPr>
        <b/>
        <sz val="10"/>
        <color indexed="10"/>
        <rFont val="Arial Cyr"/>
        <family val="0"/>
      </rPr>
      <t>под заказ</t>
    </r>
  </si>
  <si>
    <r>
      <t>Цены указанны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с НДС</t>
    </r>
  </si>
  <si>
    <t>TOP</t>
  </si>
  <si>
    <t>Q</t>
  </si>
  <si>
    <t>510*370*155</t>
  </si>
  <si>
    <t>510*410*215</t>
  </si>
  <si>
    <t>Classic White</t>
  </si>
  <si>
    <t>Desert Silver</t>
  </si>
  <si>
    <t>Ariel</t>
  </si>
  <si>
    <t>Blanco Orion</t>
  </si>
  <si>
    <t>Blanco Zues</t>
  </si>
  <si>
    <t>Calypso</t>
  </si>
  <si>
    <t>Iconic White</t>
  </si>
  <si>
    <t>Все мойки производятся в структурах Polished (глянец) и Suede (мат), кроме моек, обозначенных          - (только глянец)</t>
  </si>
  <si>
    <t>* Цены моек указаны в текстуре POLISHED (глянец). SUEDE - +15% к стоимости глянцевой текстуры.</t>
  </si>
  <si>
    <t>Грн/шт</t>
  </si>
  <si>
    <t>* материал к заказу недоступен, распродается</t>
  </si>
  <si>
    <t>Формат</t>
  </si>
  <si>
    <t>Alpina White</t>
  </si>
  <si>
    <t>Bamboo</t>
  </si>
  <si>
    <t>Bianco Calacatta</t>
  </si>
  <si>
    <t>Altair</t>
  </si>
  <si>
    <t>Brookling</t>
  </si>
  <si>
    <t>Chrome</t>
  </si>
  <si>
    <t>Classic Calacatta</t>
  </si>
  <si>
    <t>Rougui</t>
  </si>
  <si>
    <t>Azul Ugarit</t>
  </si>
  <si>
    <t>Crema Stellar</t>
  </si>
  <si>
    <t>Eternal Emperador</t>
  </si>
  <si>
    <t>Eternal Calacatta</t>
  </si>
  <si>
    <t>Blanco Rivers</t>
  </si>
  <si>
    <t>Doradus</t>
  </si>
  <si>
    <t>Eternal Marfil</t>
  </si>
  <si>
    <t>Iron Ore</t>
  </si>
  <si>
    <t>Miami White</t>
  </si>
  <si>
    <t>Riverbed</t>
  </si>
  <si>
    <t>White Diamond</t>
  </si>
  <si>
    <t>Nymbus</t>
  </si>
  <si>
    <t>Cygnus</t>
  </si>
  <si>
    <t>Royal Reef</t>
  </si>
  <si>
    <t>Kimbler Mist</t>
  </si>
  <si>
    <t>Forest Snow</t>
  </si>
  <si>
    <t>Lusso</t>
  </si>
  <si>
    <t>Luna</t>
  </si>
  <si>
    <t>Mountain Mist</t>
  </si>
  <si>
    <t>Ocean Jasper</t>
  </si>
  <si>
    <t>Ocean Storm</t>
  </si>
  <si>
    <t>Pearl Jasmine</t>
  </si>
  <si>
    <t>Pacifica</t>
  </si>
  <si>
    <t>White Arabesque</t>
  </si>
  <si>
    <t>Pietra</t>
  </si>
  <si>
    <t>Quasar</t>
  </si>
  <si>
    <t>Snowy Ibiza</t>
  </si>
  <si>
    <t>Sienna Ridge</t>
  </si>
  <si>
    <t>Stellar Grey</t>
  </si>
  <si>
    <t>Silver Lake</t>
  </si>
  <si>
    <t>White</t>
  </si>
  <si>
    <t>Color Basic</t>
  </si>
  <si>
    <t>Для заказа меньше 1 паллеты (от 1плиты), добавляется следующая стоимость:</t>
  </si>
  <si>
    <t>Color Special</t>
  </si>
  <si>
    <t>черный, Г4</t>
  </si>
  <si>
    <t>White Front</t>
  </si>
  <si>
    <t>10 мм</t>
  </si>
  <si>
    <t>13 мм</t>
  </si>
  <si>
    <t>Формат плиты: 2800х1860 мм</t>
  </si>
  <si>
    <t>White front:</t>
  </si>
  <si>
    <t>0101 BS</t>
  </si>
  <si>
    <t>0112 BS</t>
  </si>
  <si>
    <t>0162 BS</t>
  </si>
  <si>
    <t>0164 BS</t>
  </si>
  <si>
    <t>0190 BS</t>
  </si>
  <si>
    <t>0515 BS</t>
  </si>
  <si>
    <t>8681 BS</t>
  </si>
  <si>
    <t>0171 BS</t>
  </si>
  <si>
    <t>0191 BS</t>
  </si>
  <si>
    <t xml:space="preserve"> Срок производства и доставки на склад в г. Киев 4-5 недель</t>
  </si>
  <si>
    <t>Группа 6</t>
  </si>
  <si>
    <t>50-100</t>
  </si>
  <si>
    <t>Формат мм/текстура</t>
  </si>
  <si>
    <t>все текстуры</t>
  </si>
  <si>
    <t>BS, PE, SM, PR</t>
  </si>
  <si>
    <t>SQ, SL</t>
  </si>
  <si>
    <t>Доплата за текстуру SQ - 10%</t>
  </si>
  <si>
    <t xml:space="preserve">Cтоимость защитной пленки </t>
  </si>
  <si>
    <t>K211 PE</t>
  </si>
  <si>
    <t>K212 BS</t>
  </si>
  <si>
    <t>K215 BS</t>
  </si>
  <si>
    <t>K214 RS</t>
  </si>
  <si>
    <t>группа 7</t>
  </si>
  <si>
    <t>группа 8</t>
  </si>
  <si>
    <t>K015 SU</t>
  </si>
  <si>
    <t>K018PW</t>
  </si>
  <si>
    <t xml:space="preserve">AL01 </t>
  </si>
  <si>
    <t xml:space="preserve">AL02 </t>
  </si>
  <si>
    <t xml:space="preserve">AL03 </t>
  </si>
  <si>
    <t xml:space="preserve">AL04 </t>
  </si>
  <si>
    <t xml:space="preserve">AL05 </t>
  </si>
  <si>
    <t xml:space="preserve">AL06 </t>
  </si>
  <si>
    <t>Группа 7</t>
  </si>
  <si>
    <t>Группа 8</t>
  </si>
  <si>
    <t>Стоимость м2 в ЕВРО с НДС</t>
  </si>
  <si>
    <t>Standart</t>
  </si>
  <si>
    <t>50 листов</t>
  </si>
  <si>
    <t>Cтоимость защитной пленки</t>
  </si>
  <si>
    <t>Декор/Толщина</t>
  </si>
  <si>
    <t>6 мм</t>
  </si>
  <si>
    <r>
      <t xml:space="preserve">190 AF (anti fingerprints) </t>
    </r>
    <r>
      <rPr>
        <b/>
        <u val="single"/>
        <sz val="10"/>
        <rFont val="Arial Cyr"/>
        <family val="0"/>
      </rPr>
      <t>черный стержень</t>
    </r>
  </si>
  <si>
    <r>
      <t xml:space="preserve">K108 SU                   </t>
    </r>
    <r>
      <rPr>
        <b/>
        <u val="single"/>
        <sz val="10"/>
        <rFont val="Arial Cyr"/>
        <family val="0"/>
      </rPr>
      <t xml:space="preserve"> черный стержень</t>
    </r>
  </si>
  <si>
    <r>
      <t xml:space="preserve">K023 SU                      </t>
    </r>
    <r>
      <rPr>
        <b/>
        <u val="single"/>
        <sz val="10"/>
        <rFont val="Arial Cyr"/>
        <family val="0"/>
      </rPr>
      <t xml:space="preserve"> белый стержень</t>
    </r>
  </si>
  <si>
    <r>
      <t xml:space="preserve">4771 AF (anti fingerprints) </t>
    </r>
    <r>
      <rPr>
        <b/>
        <u val="single"/>
        <sz val="10"/>
        <rFont val="Arial Cyr"/>
        <family val="0"/>
      </rPr>
      <t>белый стержень</t>
    </r>
  </si>
  <si>
    <r>
      <t xml:space="preserve"> 8685 SU                         </t>
    </r>
    <r>
      <rPr>
        <b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белый стержень</t>
    </r>
  </si>
  <si>
    <r>
      <t xml:space="preserve">K028 SU                       </t>
    </r>
    <r>
      <rPr>
        <b/>
        <u val="single"/>
        <sz val="10"/>
        <rFont val="Arial Cyr"/>
        <family val="0"/>
      </rPr>
      <t>серый стержень</t>
    </r>
  </si>
  <si>
    <t>30 листов</t>
  </si>
  <si>
    <t>20 листов</t>
  </si>
  <si>
    <t>15 листов</t>
  </si>
  <si>
    <t>12 листов</t>
  </si>
  <si>
    <r>
      <rPr>
        <b/>
        <sz val="10"/>
        <rFont val="Arial Cyr"/>
        <family val="0"/>
      </rPr>
      <t>Размер листа:</t>
    </r>
    <r>
      <rPr>
        <sz val="10"/>
        <rFont val="Arial Cyr"/>
        <family val="2"/>
      </rPr>
      <t xml:space="preserve"> 4100 х 1300 мм</t>
    </r>
  </si>
  <si>
    <t>Цена Грн/м2</t>
  </si>
  <si>
    <t>тросс для поддержки мойки (кроме модели Due Small)</t>
  </si>
  <si>
    <t>курс евро</t>
  </si>
  <si>
    <t>курс доллара</t>
  </si>
  <si>
    <t>Акриловый камень Hi-Macs, производитель LG Hausys  (Корея)</t>
  </si>
  <si>
    <t xml:space="preserve">Размер листа: </t>
  </si>
  <si>
    <t>12х760х3680 мм</t>
  </si>
  <si>
    <t>Цена, USD</t>
  </si>
  <si>
    <t>Код</t>
  </si>
  <si>
    <t>Название цвета</t>
  </si>
  <si>
    <t>Solid (белый)</t>
  </si>
  <si>
    <t>S028</t>
  </si>
  <si>
    <t xml:space="preserve">Solid </t>
  </si>
  <si>
    <t>S005</t>
  </si>
  <si>
    <t>Gray</t>
  </si>
  <si>
    <t>S006</t>
  </si>
  <si>
    <t>Arctic White</t>
  </si>
  <si>
    <t>S009</t>
  </si>
  <si>
    <t>Cream</t>
  </si>
  <si>
    <t>S022</t>
  </si>
  <si>
    <t>Black</t>
  </si>
  <si>
    <t>S025</t>
  </si>
  <si>
    <t>Fiery Red</t>
  </si>
  <si>
    <t>S026</t>
  </si>
  <si>
    <t>Banana</t>
  </si>
  <si>
    <t xml:space="preserve">S027 </t>
  </si>
  <si>
    <t>Orange</t>
  </si>
  <si>
    <t>S034</t>
  </si>
  <si>
    <t>Diamond White</t>
  </si>
  <si>
    <t xml:space="preserve">S100 </t>
  </si>
  <si>
    <t>Coffee Brown</t>
  </si>
  <si>
    <t>S104</t>
  </si>
  <si>
    <t>Toffee Brown</t>
  </si>
  <si>
    <t>S201</t>
  </si>
  <si>
    <t>Nougat Cream</t>
  </si>
  <si>
    <t>Lucent</t>
  </si>
  <si>
    <t>S302</t>
  </si>
  <si>
    <t>Opal</t>
  </si>
  <si>
    <t>S303</t>
  </si>
  <si>
    <t>Sapphire</t>
  </si>
  <si>
    <t>Sand &amp; Pearl</t>
  </si>
  <si>
    <t>G001</t>
  </si>
  <si>
    <t>Desert Sand</t>
  </si>
  <si>
    <t>G002</t>
  </si>
  <si>
    <t>Gray Sand</t>
  </si>
  <si>
    <t>G010</t>
  </si>
  <si>
    <t>Black Pearl</t>
  </si>
  <si>
    <t>G042</t>
  </si>
  <si>
    <t>Venetian Sand</t>
  </si>
  <si>
    <t>G047</t>
  </si>
  <si>
    <t>Black Bird</t>
  </si>
  <si>
    <t>G048</t>
  </si>
  <si>
    <t>Beach Sand</t>
  </si>
  <si>
    <t>G050</t>
  </si>
  <si>
    <t>Tapioca Pearl</t>
  </si>
  <si>
    <t>Quartz</t>
  </si>
  <si>
    <t>G004</t>
  </si>
  <si>
    <t>White Quartz</t>
  </si>
  <si>
    <t>G019</t>
  </si>
  <si>
    <t>Natural Quartz</t>
  </si>
  <si>
    <t>G038</t>
  </si>
  <si>
    <t>Sea Oat Quartz</t>
  </si>
  <si>
    <t>G058</t>
  </si>
  <si>
    <t>Moonscape Quartz</t>
  </si>
  <si>
    <t>G063</t>
  </si>
  <si>
    <t>Allspice Quartz</t>
  </si>
  <si>
    <t>G101</t>
  </si>
  <si>
    <t>Crystal Beige</t>
  </si>
  <si>
    <t>Granite</t>
  </si>
  <si>
    <t>G007</t>
  </si>
  <si>
    <t>Platinum Granite</t>
  </si>
  <si>
    <t>G034</t>
  </si>
  <si>
    <t>Arctic Granite</t>
  </si>
  <si>
    <t>G074</t>
  </si>
  <si>
    <t>Mocha Granite</t>
  </si>
  <si>
    <t>G100</t>
  </si>
  <si>
    <t>Peanut Butter</t>
  </si>
  <si>
    <t>G103</t>
  </si>
  <si>
    <t>Gray Onix</t>
  </si>
  <si>
    <t xml:space="preserve">G107 </t>
  </si>
  <si>
    <t>Pebble Pearl</t>
  </si>
  <si>
    <t xml:space="preserve">G108 </t>
  </si>
  <si>
    <t>Lunar Sand</t>
  </si>
  <si>
    <t>G109</t>
  </si>
  <si>
    <t>Beige Island</t>
  </si>
  <si>
    <t>G110</t>
  </si>
  <si>
    <t>Corona</t>
  </si>
  <si>
    <t>G111</t>
  </si>
  <si>
    <t>Macchiato</t>
  </si>
  <si>
    <t>G112</t>
  </si>
  <si>
    <t>Caramel</t>
  </si>
  <si>
    <t>G113</t>
  </si>
  <si>
    <t>Iceberg</t>
  </si>
  <si>
    <t>G114</t>
  </si>
  <si>
    <t>Clay</t>
  </si>
  <si>
    <t>G117</t>
  </si>
  <si>
    <t>Cappuccino</t>
  </si>
  <si>
    <t>G135</t>
  </si>
  <si>
    <t>Chamomile</t>
  </si>
  <si>
    <t>G136</t>
  </si>
  <si>
    <t>Darjeeling</t>
  </si>
  <si>
    <t>G137</t>
  </si>
  <si>
    <t>Winter Grey</t>
  </si>
  <si>
    <t>G138</t>
  </si>
  <si>
    <t>Earl Grey</t>
  </si>
  <si>
    <t>G139</t>
  </si>
  <si>
    <t>Rooibos</t>
  </si>
  <si>
    <t>G193</t>
  </si>
  <si>
    <t>Swany</t>
  </si>
  <si>
    <t>G194</t>
  </si>
  <si>
    <t>Sand White</t>
  </si>
  <si>
    <t>G195</t>
  </si>
  <si>
    <t>Sand Beige</t>
  </si>
  <si>
    <t>G196</t>
  </si>
  <si>
    <t>Sand Grey</t>
  </si>
  <si>
    <t>G295</t>
  </si>
  <si>
    <t>Baikal</t>
  </si>
  <si>
    <t>G501</t>
  </si>
  <si>
    <t>White Stella</t>
  </si>
  <si>
    <t>G502</t>
  </si>
  <si>
    <t>Winter Stella</t>
  </si>
  <si>
    <t>G503</t>
  </si>
  <si>
    <t>Night Stella</t>
  </si>
  <si>
    <t>G554</t>
  </si>
  <si>
    <t>Urban Conrete</t>
  </si>
  <si>
    <t>G555</t>
  </si>
  <si>
    <t>Steel Concrete</t>
  </si>
  <si>
    <t>G556</t>
  </si>
  <si>
    <t>Snow Concrete</t>
  </si>
  <si>
    <t>G557</t>
  </si>
  <si>
    <t>Cloud Concrete</t>
  </si>
  <si>
    <t>P001</t>
  </si>
  <si>
    <t>Perna White</t>
  </si>
  <si>
    <t>P004</t>
  </si>
  <si>
    <t>Perna Black</t>
  </si>
  <si>
    <t>Lucia</t>
  </si>
  <si>
    <t>W001</t>
  </si>
  <si>
    <t>Ice Queen</t>
  </si>
  <si>
    <t>W002</t>
  </si>
  <si>
    <t>Cloud</t>
  </si>
  <si>
    <t>W003</t>
  </si>
  <si>
    <t>Shadow Queen</t>
  </si>
  <si>
    <t>W004</t>
  </si>
  <si>
    <t>Star Queen</t>
  </si>
  <si>
    <t>W006</t>
  </si>
  <si>
    <t>Macadamia</t>
  </si>
  <si>
    <t>W010</t>
  </si>
  <si>
    <t>Red Quinoa</t>
  </si>
  <si>
    <t>W021</t>
  </si>
  <si>
    <t>Morining Calm</t>
  </si>
  <si>
    <t>W022</t>
  </si>
  <si>
    <t>Moon Dusk</t>
  </si>
  <si>
    <t>Volcanics</t>
  </si>
  <si>
    <t>VE01</t>
  </si>
  <si>
    <t>Tambora</t>
  </si>
  <si>
    <t>VB01</t>
  </si>
  <si>
    <t>Merapi</t>
  </si>
  <si>
    <t>VW01</t>
  </si>
  <si>
    <t>Gemini</t>
  </si>
  <si>
    <t>VA01</t>
  </si>
  <si>
    <t>Santa Ana</t>
  </si>
  <si>
    <t>Marmo</t>
  </si>
  <si>
    <t>M201</t>
  </si>
  <si>
    <t>Terni</t>
  </si>
  <si>
    <t>M203</t>
  </si>
  <si>
    <t>Lucca</t>
  </si>
  <si>
    <t>M306</t>
  </si>
  <si>
    <t>Breeze White</t>
  </si>
  <si>
    <t>M351</t>
  </si>
  <si>
    <t>Milan</t>
  </si>
  <si>
    <t>M352</t>
  </si>
  <si>
    <t>Vernazza</t>
  </si>
  <si>
    <t>M411</t>
  </si>
  <si>
    <t>Mesinna</t>
  </si>
  <si>
    <t>M412</t>
  </si>
  <si>
    <t>Foggia</t>
  </si>
  <si>
    <t>M423</t>
  </si>
  <si>
    <t>Ancona</t>
  </si>
  <si>
    <t>M424</t>
  </si>
  <si>
    <t>Lunar dust</t>
  </si>
  <si>
    <t>M904</t>
  </si>
  <si>
    <t>Naples</t>
  </si>
  <si>
    <t>M501</t>
  </si>
  <si>
    <t>Edessa</t>
  </si>
  <si>
    <t>M502</t>
  </si>
  <si>
    <t>Vathi</t>
  </si>
  <si>
    <t>M503</t>
  </si>
  <si>
    <t>Ferrara</t>
  </si>
  <si>
    <t>M552</t>
  </si>
  <si>
    <t>Shadow Concrete</t>
  </si>
  <si>
    <t>M553</t>
  </si>
  <si>
    <t>Ebony Concrete</t>
  </si>
  <si>
    <t>M601</t>
  </si>
  <si>
    <t>Aurora Torano</t>
  </si>
  <si>
    <t>M603</t>
  </si>
  <si>
    <t>Pavia new</t>
  </si>
  <si>
    <t>M605</t>
  </si>
  <si>
    <r>
      <t xml:space="preserve">Sanremo </t>
    </r>
    <r>
      <rPr>
        <b/>
        <sz val="10"/>
        <rFont val="Arial Cyr"/>
        <family val="0"/>
      </rPr>
      <t>new</t>
    </r>
  </si>
  <si>
    <t>M606</t>
  </si>
  <si>
    <r>
      <t xml:space="preserve">Aurora Bianco </t>
    </r>
    <r>
      <rPr>
        <b/>
        <sz val="10"/>
        <rFont val="Arial Cyr"/>
        <family val="0"/>
      </rPr>
      <t>new</t>
    </r>
  </si>
  <si>
    <t>M607</t>
  </si>
  <si>
    <r>
      <t>Aurora Cream</t>
    </r>
    <r>
      <rPr>
        <b/>
        <sz val="10"/>
        <rFont val="Arial Cyr"/>
        <family val="0"/>
      </rPr>
      <t xml:space="preserve"> new</t>
    </r>
  </si>
  <si>
    <t>M608</t>
  </si>
  <si>
    <r>
      <t xml:space="preserve">Aurora Grey </t>
    </r>
    <r>
      <rPr>
        <b/>
        <sz val="10"/>
        <rFont val="Arial Cyr"/>
        <family val="0"/>
      </rPr>
      <t>new</t>
    </r>
  </si>
  <si>
    <t>M612</t>
  </si>
  <si>
    <r>
      <t xml:space="preserve">Aurora Bisque </t>
    </r>
    <r>
      <rPr>
        <b/>
        <sz val="10"/>
        <rFont val="Arial Cyr"/>
        <family val="0"/>
      </rPr>
      <t>new</t>
    </r>
  </si>
  <si>
    <t>M613</t>
  </si>
  <si>
    <r>
      <t xml:space="preserve">Aurora Greige </t>
    </r>
    <r>
      <rPr>
        <b/>
        <sz val="10"/>
        <rFont val="Arial Cyr"/>
        <family val="0"/>
      </rPr>
      <t>new</t>
    </r>
  </si>
  <si>
    <t>M614</t>
  </si>
  <si>
    <r>
      <t xml:space="preserve">Aurora Umber </t>
    </r>
    <r>
      <rPr>
        <b/>
        <sz val="10"/>
        <rFont val="Arial Cyr"/>
        <family val="0"/>
      </rPr>
      <t>new</t>
    </r>
  </si>
  <si>
    <t>M615</t>
  </si>
  <si>
    <r>
      <t xml:space="preserve">Aurora Cotton </t>
    </r>
    <r>
      <rPr>
        <b/>
        <sz val="10"/>
        <rFont val="Arial Cyr"/>
        <family val="0"/>
      </rPr>
      <t>new</t>
    </r>
  </si>
  <si>
    <t>M616</t>
  </si>
  <si>
    <r>
      <t>Aurora Dove</t>
    </r>
    <r>
      <rPr>
        <b/>
        <sz val="10"/>
        <rFont val="Arial Cyr"/>
        <family val="0"/>
      </rPr>
      <t xml:space="preserve"> new</t>
    </r>
  </si>
  <si>
    <t>M617</t>
  </si>
  <si>
    <r>
      <t xml:space="preserve">Aurora Blanc </t>
    </r>
    <r>
      <rPr>
        <b/>
        <sz val="10"/>
        <rFont val="Arial Cyr"/>
        <family val="0"/>
      </rPr>
      <t>new</t>
    </r>
  </si>
  <si>
    <t>Galaxy</t>
  </si>
  <si>
    <t>T001</t>
  </si>
  <si>
    <t>Black Hole</t>
  </si>
  <si>
    <t>T010</t>
  </si>
  <si>
    <t>Nebula</t>
  </si>
  <si>
    <t>T011</t>
  </si>
  <si>
    <t>Venus</t>
  </si>
  <si>
    <t>T017</t>
  </si>
  <si>
    <t>Andromeda</t>
  </si>
  <si>
    <t>Volcanics Natural</t>
  </si>
  <si>
    <t>VE26</t>
  </si>
  <si>
    <t>Shasta</t>
  </si>
  <si>
    <t>* цена указана акционная, дополнительная скидка не распространяется</t>
  </si>
  <si>
    <t>** позиции, выделены жирным цветом есть в наличии на складе.</t>
  </si>
  <si>
    <t>Все цвета возможны под заказ, минимальный объем - 15 листов</t>
  </si>
  <si>
    <t>Цена USD</t>
  </si>
  <si>
    <t>Клей Hi-Macs (45 мл) без носика</t>
  </si>
  <si>
    <r>
      <t xml:space="preserve">Пистолет для нанесения клея </t>
    </r>
    <r>
      <rPr>
        <sz val="9"/>
        <color indexed="8"/>
        <rFont val="Arial Cyr"/>
        <family val="2"/>
      </rPr>
      <t>(45 млl)</t>
    </r>
  </si>
  <si>
    <t>1 лист                             (2,7968 м2)</t>
  </si>
  <si>
    <t>Alpine White*</t>
  </si>
  <si>
    <r>
      <rPr>
        <b/>
        <i/>
        <sz val="11"/>
        <color indexed="18"/>
        <rFont val="Arial"/>
        <family val="2"/>
      </rP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в листе</t>
    </r>
  </si>
  <si>
    <t>A</t>
  </si>
  <si>
    <t>B</t>
  </si>
  <si>
    <t>C</t>
  </si>
  <si>
    <t>D</t>
  </si>
  <si>
    <t>E</t>
  </si>
  <si>
    <t>F</t>
  </si>
  <si>
    <t>G</t>
  </si>
  <si>
    <t>Цена в евро с НДС</t>
  </si>
  <si>
    <t>760 мм</t>
  </si>
  <si>
    <t>3658 мм</t>
  </si>
  <si>
    <r>
      <t xml:space="preserve">Montelli  </t>
    </r>
    <r>
      <rPr>
        <sz val="11"/>
        <color indexed="8"/>
        <rFont val="Arial Cyr"/>
        <family val="2"/>
      </rPr>
      <t>A (101)</t>
    </r>
  </si>
  <si>
    <r>
      <t xml:space="preserve">Montelli </t>
    </r>
    <r>
      <rPr>
        <sz val="11"/>
        <color indexed="8"/>
        <rFont val="Arial Cyr"/>
        <family val="2"/>
      </rPr>
      <t>B (1069, 131, 1070, 1071, 1458, 252, 251, 1461, 207, 1460, 204, 1456, 201, 1457, 1459, 1462, 1455, 231, 306, 328)</t>
    </r>
  </si>
  <si>
    <r>
      <t xml:space="preserve">Mintelli </t>
    </r>
    <r>
      <rPr>
        <sz val="11"/>
        <color indexed="8"/>
        <rFont val="Arial Cyr"/>
        <family val="2"/>
      </rPr>
      <t>C (2563, 2565)</t>
    </r>
  </si>
  <si>
    <r>
      <t xml:space="preserve">Pulsar                          </t>
    </r>
    <r>
      <rPr>
        <b/>
        <sz val="10"/>
        <color indexed="10"/>
        <rFont val="Arial Cyr"/>
        <family val="0"/>
      </rPr>
      <t xml:space="preserve">  заказ      </t>
    </r>
  </si>
  <si>
    <r>
      <t xml:space="preserve">Royal Reef   </t>
    </r>
    <r>
      <rPr>
        <b/>
        <sz val="10"/>
        <color indexed="10"/>
        <rFont val="Arial Cyr"/>
        <family val="0"/>
      </rPr>
      <t xml:space="preserve">                  заказ</t>
    </r>
  </si>
  <si>
    <r>
      <t xml:space="preserve">Alpina White 08              </t>
    </r>
    <r>
      <rPr>
        <b/>
        <sz val="10"/>
        <color indexed="10"/>
        <rFont val="Arial Cyr"/>
        <family val="0"/>
      </rPr>
      <t>заказ</t>
    </r>
  </si>
  <si>
    <r>
      <t xml:space="preserve">Cygnus 15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</si>
  <si>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Bamboo 08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</si>
  <si>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Snow Ibiza                    </t>
    </r>
    <r>
      <rPr>
        <b/>
        <sz val="10"/>
        <color indexed="10"/>
        <rFont val="Arial Cyr"/>
        <family val="0"/>
      </rPr>
      <t xml:space="preserve"> заказ   </t>
    </r>
    <r>
      <rPr>
        <sz val="10"/>
        <rFont val="Arial Cyr"/>
        <family val="2"/>
      </rPr>
      <t xml:space="preserve">  </t>
    </r>
    <r>
      <rPr>
        <b/>
        <sz val="10"/>
        <color indexed="10"/>
        <rFont val="Arial Cyr"/>
        <family val="0"/>
      </rPr>
      <t xml:space="preserve"> </t>
    </r>
  </si>
  <si>
    <r>
      <t xml:space="preserve">Stellar Grey                 </t>
    </r>
    <r>
      <rPr>
        <b/>
        <sz val="10"/>
        <color indexed="10"/>
        <rFont val="Arial Cyr"/>
        <family val="0"/>
      </rPr>
      <t xml:space="preserve">   заказ      </t>
    </r>
  </si>
  <si>
    <r>
      <t xml:space="preserve">Unsui                             </t>
    </r>
    <r>
      <rPr>
        <b/>
        <sz val="10"/>
        <color indexed="10"/>
        <rFont val="Arial Cyr"/>
        <family val="0"/>
      </rPr>
      <t>заказ</t>
    </r>
  </si>
  <si>
    <r>
      <t xml:space="preserve">Blanco Orion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</si>
  <si>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Calypso                      </t>
    </r>
    <r>
      <rPr>
        <b/>
        <sz val="10"/>
        <color indexed="10"/>
        <rFont val="Arial Cyr"/>
        <family val="0"/>
      </rPr>
      <t xml:space="preserve">   заказ  </t>
    </r>
  </si>
  <si>
    <t xml:space="preserve">Iconic White         </t>
  </si>
  <si>
    <r>
      <t xml:space="preserve">White Diamond           </t>
    </r>
    <r>
      <rPr>
        <b/>
        <sz val="10"/>
        <color indexed="10"/>
        <rFont val="Arial Cyr"/>
        <family val="0"/>
      </rPr>
      <t xml:space="preserve">   заказ</t>
    </r>
  </si>
  <si>
    <t>нанопокрытие</t>
  </si>
  <si>
    <t xml:space="preserve"> + 15 % к стоимости м2 глянцевой поверхности</t>
  </si>
  <si>
    <r>
      <t>Baltic</t>
    </r>
    <r>
      <rPr>
        <b/>
        <sz val="10"/>
        <color indexed="10"/>
        <rFont val="Arial Cyr"/>
        <family val="0"/>
      </rPr>
      <t xml:space="preserve"> new</t>
    </r>
  </si>
  <si>
    <r>
      <t xml:space="preserve">Feroe </t>
    </r>
    <r>
      <rPr>
        <b/>
        <sz val="10"/>
        <color indexed="10"/>
        <rFont val="Arial Cyr"/>
        <family val="0"/>
      </rPr>
      <t>new</t>
    </r>
  </si>
  <si>
    <r>
      <t xml:space="preserve">Laurent </t>
    </r>
    <r>
      <rPr>
        <b/>
        <sz val="10"/>
        <color indexed="10"/>
        <rFont val="Arial Cyr"/>
        <family val="0"/>
      </rPr>
      <t>new</t>
    </r>
  </si>
  <si>
    <t xml:space="preserve">Natura 18 </t>
  </si>
  <si>
    <r>
      <t xml:space="preserve">Rem </t>
    </r>
    <r>
      <rPr>
        <b/>
        <sz val="10"/>
        <color indexed="10"/>
        <rFont val="Arial Cyr"/>
        <family val="0"/>
      </rPr>
      <t>new</t>
    </r>
  </si>
  <si>
    <t>Tundra 19</t>
  </si>
  <si>
    <t>Natura 18 bookmatch</t>
  </si>
  <si>
    <t>Bromo</t>
  </si>
  <si>
    <r>
      <t xml:space="preserve">Kovik </t>
    </r>
    <r>
      <rPr>
        <b/>
        <sz val="11"/>
        <color indexed="12"/>
        <rFont val="Calibri"/>
        <family val="2"/>
      </rPr>
      <t>new!</t>
    </r>
  </si>
  <si>
    <t>Kreta</t>
  </si>
  <si>
    <t>Laos</t>
  </si>
  <si>
    <t>Lunar</t>
  </si>
  <si>
    <t>Arga</t>
  </si>
  <si>
    <t>Aura 15 Bookmatch</t>
  </si>
  <si>
    <t>Bergen</t>
  </si>
  <si>
    <t>Natura 18 Bookmatch</t>
  </si>
  <si>
    <t>Dekton 4 mm Cut-To-Size</t>
  </si>
  <si>
    <r>
      <t>Стоимость ГРН/м2</t>
    </r>
    <r>
      <rPr>
        <b/>
        <sz val="10"/>
        <color indexed="10"/>
        <rFont val="Arial Cyr"/>
        <family val="0"/>
      </rPr>
      <t xml:space="preserve"> (только глянец)</t>
    </r>
  </si>
  <si>
    <t xml:space="preserve">Формат </t>
  </si>
  <si>
    <t>3200х1440 мм</t>
  </si>
  <si>
    <t xml:space="preserve"> Белый стержень</t>
  </si>
  <si>
    <t xml:space="preserve">K023 SU </t>
  </si>
  <si>
    <t xml:space="preserve">8685 SU </t>
  </si>
  <si>
    <t xml:space="preserve">K217 GM </t>
  </si>
  <si>
    <t xml:space="preserve">7100 GM </t>
  </si>
  <si>
    <t xml:space="preserve"> Серый стержень</t>
  </si>
  <si>
    <t xml:space="preserve">K028 SU  </t>
  </si>
  <si>
    <t xml:space="preserve">K367 PH </t>
  </si>
  <si>
    <t>K368 PH</t>
  </si>
  <si>
    <t xml:space="preserve">K302 PH </t>
  </si>
  <si>
    <t>K372 GM</t>
  </si>
  <si>
    <t>Черный стержень</t>
  </si>
  <si>
    <t xml:space="preserve">0190 Anti-finger SM  </t>
  </si>
  <si>
    <t>0190 SL</t>
  </si>
  <si>
    <t xml:space="preserve">K205 SL </t>
  </si>
  <si>
    <t xml:space="preserve">7099 GM </t>
  </si>
  <si>
    <t xml:space="preserve">K108 SU  </t>
  </si>
  <si>
    <t>Древесный стержень</t>
  </si>
  <si>
    <t>K295 PW</t>
  </si>
  <si>
    <t>4100х1300х12mm</t>
  </si>
  <si>
    <t>4100х650х12mm</t>
  </si>
  <si>
    <t>Мин заказ</t>
  </si>
  <si>
    <t>10 шт</t>
  </si>
  <si>
    <t xml:space="preserve"> ГРН за кв. м с НДС</t>
  </si>
  <si>
    <t>Цены указаны за кв.м.  в ГРИВНАХ с НДС</t>
  </si>
  <si>
    <t>K292 PW</t>
  </si>
  <si>
    <t>Украина</t>
  </si>
  <si>
    <t>улица Полярная, 20-в 
отдел продаж и склад материалов для рекламы</t>
  </si>
  <si>
    <t>ул. Максимовича, 12</t>
  </si>
  <si>
    <t>Днепр</t>
  </si>
  <si>
    <t>ул. Народицкая 7</t>
  </si>
  <si>
    <t>ул. Ребета, 3</t>
  </si>
  <si>
    <t>ул. Днепропетровское шоссе, 20-В</t>
  </si>
  <si>
    <t>ул. Промышленная 60</t>
  </si>
  <si>
    <t>проспект Мира, 69, ТЦ "Рико" четвертый этаж</t>
  </si>
  <si>
    <t xml:space="preserve">ул.Чкалова, 21-А </t>
  </si>
  <si>
    <t>ул. Бродовская, 45</t>
  </si>
  <si>
    <t xml:space="preserve">Тел.: + (373-22) 99 95 15 </t>
  </si>
  <si>
    <t>Тел.:  + (231) 81 0 16</t>
  </si>
  <si>
    <t>Тел.: + (298) 81 0 53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</si>
  <si>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</si>
  <si>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</si>
  <si>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</si>
  <si>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</si>
  <si>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</si>
  <si>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Зугдиди</t>
  </si>
  <si>
    <t>ул. М.Костава 112</t>
  </si>
  <si>
    <t>Тел.: +995 (32) 224 20 40 (*4020)</t>
  </si>
  <si>
    <t>Азербайджан</t>
  </si>
  <si>
    <t>Баку</t>
  </si>
  <si>
    <t>просп. Ходжалі 37</t>
  </si>
  <si>
    <t>тел.: +994 12 310 34 36 (ext.1402)
моб.: +994 50 310 46 28</t>
  </si>
  <si>
    <t>проспект Победы 67
отдел продаж и склад материалов для строительства, упаковки, промисловости, декоративные отделочные материалы</t>
  </si>
  <si>
    <t>ул. Героев Днепра, 2-А</t>
  </si>
  <si>
    <t>Львов: офис</t>
  </si>
  <si>
    <t>Львов: склад</t>
  </si>
  <si>
    <t>ул. Городницкая, 43</t>
  </si>
  <si>
    <t>Николаев: склад</t>
  </si>
  <si>
    <t>ул. Богородичная, 32</t>
  </si>
  <si>
    <t>Харьков: офис</t>
  </si>
  <si>
    <t>Харьков: склад</t>
  </si>
  <si>
    <t>ул. Костичева, 2А</t>
  </si>
  <si>
    <t>ул. Мештрул Маноле, 12/2</t>
  </si>
  <si>
    <t>DEKTON           Цены указаны за кв.м.  в ГРИВНАХ с НДС</t>
  </si>
  <si>
    <t>пгт. Слобожанской, МКВ Золотые ключи, ул. Крымская, 25</t>
  </si>
  <si>
    <t>Николаев: офіс</t>
  </si>
  <si>
    <t>Одесса</t>
  </si>
  <si>
    <t>ул. Головковская, 57/1</t>
  </si>
  <si>
    <t>Цена на материалы в ГРН на дату 02.04.2020</t>
  </si>
  <si>
    <t>Aeris</t>
  </si>
  <si>
    <t>Eter</t>
  </si>
  <si>
    <t xml:space="preserve">Millar </t>
  </si>
  <si>
    <t>Vegha**</t>
  </si>
  <si>
    <t xml:space="preserve">Bromo </t>
  </si>
  <si>
    <r>
      <t>Sasea</t>
    </r>
    <r>
      <rPr>
        <b/>
        <sz val="10"/>
        <color indexed="10"/>
        <rFont val="Arial Cyr"/>
        <family val="0"/>
      </rPr>
      <t xml:space="preserve"> </t>
    </r>
  </si>
  <si>
    <t>Sirius*</t>
  </si>
  <si>
    <t>Strato**</t>
  </si>
  <si>
    <t>Domoos*</t>
  </si>
  <si>
    <t>Kelya*</t>
  </si>
  <si>
    <t xml:space="preserve">Kira </t>
  </si>
  <si>
    <t>Kovik</t>
  </si>
  <si>
    <t xml:space="preserve">Kreta </t>
  </si>
  <si>
    <t xml:space="preserve">Laos </t>
  </si>
  <si>
    <t xml:space="preserve">Lunar </t>
  </si>
  <si>
    <t>Makai**</t>
  </si>
  <si>
    <t xml:space="preserve">Portum </t>
  </si>
  <si>
    <r>
      <t>Soke</t>
    </r>
    <r>
      <rPr>
        <sz val="10"/>
        <color indexed="12"/>
        <rFont val="Arial Cyr"/>
        <family val="0"/>
      </rPr>
      <t xml:space="preserve"> </t>
    </r>
  </si>
  <si>
    <t xml:space="preserve">Vera </t>
  </si>
  <si>
    <t>Aura 15*</t>
  </si>
  <si>
    <t>Entzo*</t>
  </si>
  <si>
    <t xml:space="preserve">Korso </t>
  </si>
  <si>
    <r>
      <t xml:space="preserve">Liquid Embers </t>
    </r>
    <r>
      <rPr>
        <b/>
        <sz val="10"/>
        <color indexed="10"/>
        <rFont val="Arial Cyr"/>
        <family val="0"/>
      </rPr>
      <t>new</t>
    </r>
  </si>
  <si>
    <r>
      <t xml:space="preserve">Liquid Shell </t>
    </r>
    <r>
      <rPr>
        <b/>
        <sz val="10"/>
        <color indexed="10"/>
        <rFont val="Arial Cyr"/>
        <family val="0"/>
      </rPr>
      <t>new</t>
    </r>
  </si>
  <si>
    <r>
      <t>Liquid Sky</t>
    </r>
    <r>
      <rPr>
        <b/>
        <sz val="10"/>
        <color indexed="10"/>
        <rFont val="Arial Cyr"/>
        <family val="0"/>
      </rPr>
      <t xml:space="preserve"> new</t>
    </r>
  </si>
  <si>
    <r>
      <t>Sogne</t>
    </r>
  </si>
  <si>
    <t>Uyuni</t>
  </si>
  <si>
    <t>Zenith*</t>
  </si>
  <si>
    <t xml:space="preserve">Bergen </t>
  </si>
  <si>
    <r>
      <t>Helena</t>
    </r>
    <r>
      <rPr>
        <b/>
        <sz val="10"/>
        <color indexed="10"/>
        <rFont val="Arial Cyr"/>
        <family val="0"/>
      </rPr>
      <t xml:space="preserve"> new</t>
    </r>
  </si>
  <si>
    <r>
      <t xml:space="preserve">Khalo </t>
    </r>
    <r>
      <rPr>
        <b/>
        <sz val="10"/>
        <color indexed="10"/>
        <rFont val="Arial Cyr"/>
        <family val="0"/>
      </rPr>
      <t>new</t>
    </r>
  </si>
  <si>
    <r>
      <t>Olimpo</t>
    </r>
    <r>
      <rPr>
        <b/>
        <sz val="10"/>
        <color indexed="10"/>
        <rFont val="Arial Cyr"/>
        <family val="0"/>
      </rPr>
      <t xml:space="preserve"> </t>
    </r>
  </si>
  <si>
    <t xml:space="preserve">Taga </t>
  </si>
  <si>
    <t>** - декор снят с производства, есть в наличии на складе.</t>
  </si>
  <si>
    <t xml:space="preserve">Noka </t>
  </si>
  <si>
    <t>Amazon**</t>
  </si>
  <si>
    <t>Haiku**</t>
  </si>
  <si>
    <t xml:space="preserve">Pearl Jasmine        </t>
  </si>
  <si>
    <r>
      <t xml:space="preserve">Blanco City                           </t>
    </r>
    <r>
      <rPr>
        <b/>
        <sz val="10"/>
        <color indexed="10"/>
        <rFont val="Arial Cyr"/>
        <family val="0"/>
      </rPr>
      <t>!</t>
    </r>
  </si>
  <si>
    <r>
      <t xml:space="preserve">Rougui   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</si>
  <si>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>Camden</t>
    </r>
    <r>
      <rPr>
        <sz val="10"/>
        <color indexed="3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 xml:space="preserve">new  </t>
    </r>
    <r>
      <rPr>
        <b/>
        <sz val="10"/>
        <color indexed="10"/>
        <rFont val="Arial Cyr"/>
        <family val="0"/>
      </rPr>
      <t xml:space="preserve">                 заказ</t>
    </r>
  </si>
  <si>
    <r>
      <t xml:space="preserve">Cemento Spa                         </t>
    </r>
    <r>
      <rPr>
        <b/>
        <sz val="10"/>
        <color indexed="10"/>
        <rFont val="Arial Cyr"/>
        <family val="0"/>
      </rPr>
      <t>!</t>
    </r>
  </si>
  <si>
    <r>
      <t xml:space="preserve">Coral Clay                             </t>
    </r>
    <r>
      <rPr>
        <b/>
        <sz val="10"/>
        <color indexed="10"/>
        <rFont val="Arial Cyr"/>
        <family val="0"/>
      </rPr>
      <t>!</t>
    </r>
  </si>
  <si>
    <r>
      <t xml:space="preserve">Aluminio Nube                </t>
    </r>
    <r>
      <rPr>
        <b/>
        <sz val="10"/>
        <color indexed="10"/>
        <rFont val="Arial Cyr"/>
        <family val="0"/>
      </rPr>
      <t>заказ</t>
    </r>
  </si>
  <si>
    <r>
      <t xml:space="preserve">Classic White      </t>
    </r>
    <r>
      <rPr>
        <b/>
        <sz val="10"/>
        <color indexed="10"/>
        <rFont val="Arial Cyr"/>
        <family val="0"/>
      </rPr>
      <t xml:space="preserve">          заказ</t>
    </r>
  </si>
  <si>
    <r>
      <t>Desert Silver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    </t>
    </r>
  </si>
  <si>
    <r>
      <t xml:space="preserve">Kimbler Mist  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</si>
  <si>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Miami Vena </t>
    </r>
    <r>
      <rPr>
        <b/>
        <sz val="10"/>
        <color indexed="30"/>
        <rFont val="Arial Cyr"/>
        <family val="0"/>
      </rPr>
      <t xml:space="preserve">new </t>
    </r>
    <r>
      <rPr>
        <b/>
        <sz val="10"/>
        <color indexed="10"/>
        <rFont val="Arial Cyr"/>
        <family val="0"/>
      </rPr>
      <t xml:space="preserve">           заказ</t>
    </r>
  </si>
  <si>
    <r>
      <t>Mountain Mist 12</t>
    </r>
    <r>
      <rPr>
        <b/>
        <sz val="10"/>
        <color indexed="10"/>
        <rFont val="Arial Cyr"/>
        <family val="0"/>
      </rPr>
      <t xml:space="preserve">            заказ</t>
    </r>
  </si>
  <si>
    <r>
      <t xml:space="preserve">Silken Pearl        </t>
    </r>
    <r>
      <rPr>
        <b/>
        <sz val="10"/>
        <color indexed="10"/>
        <rFont val="Arial Cyr"/>
        <family val="0"/>
      </rPr>
      <t xml:space="preserve">           заказ</t>
    </r>
  </si>
  <si>
    <r>
      <t xml:space="preserve">Yukon 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</si>
  <si>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Corktown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заказ</t>
    </r>
  </si>
  <si>
    <r>
      <t xml:space="preserve">Helix                              </t>
    </r>
    <r>
      <rPr>
        <b/>
        <sz val="10"/>
        <color indexed="10"/>
        <rFont val="Arial Cyr"/>
        <family val="0"/>
      </rPr>
      <t>заказ</t>
    </r>
  </si>
  <si>
    <r>
      <t xml:space="preserve">Kensho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</si>
  <si>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Lagoon                                 </t>
    </r>
    <r>
      <rPr>
        <b/>
        <sz val="10"/>
        <color indexed="10"/>
        <rFont val="Arial Cyr"/>
        <family val="0"/>
      </rPr>
      <t xml:space="preserve"> !</t>
    </r>
  </si>
  <si>
    <r>
      <t xml:space="preserve">Lyra                                     </t>
    </r>
    <r>
      <rPr>
        <b/>
        <sz val="10"/>
        <color indexed="10"/>
        <rFont val="Arial Cyr"/>
        <family val="0"/>
      </rPr>
      <t xml:space="preserve"> !</t>
    </r>
    <r>
      <rPr>
        <sz val="10"/>
        <rFont val="Arial Cyr"/>
        <family val="2"/>
      </rPr>
      <t xml:space="preserve">                   </t>
    </r>
  </si>
  <si>
    <r>
      <t xml:space="preserve">Merope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</si>
  <si>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>Nolita</t>
    </r>
    <r>
      <rPr>
        <sz val="10"/>
        <color indexed="3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     заказ</t>
    </r>
  </si>
  <si>
    <r>
      <t xml:space="preserve">Poblenou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заказ</t>
    </r>
  </si>
  <si>
    <r>
      <t xml:space="preserve">Seaport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  заказ</t>
    </r>
  </si>
  <si>
    <r>
      <t>Classic Calacatta</t>
    </r>
    <r>
      <rPr>
        <sz val="10"/>
        <color indexed="12"/>
        <rFont val="Arial Cyr"/>
        <family val="0"/>
      </rPr>
      <t xml:space="preserve">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</si>
  <si>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Eternal Bella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заказ</t>
    </r>
  </si>
  <si>
    <r>
      <t xml:space="preserve">Eternal D'or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заказ</t>
    </r>
  </si>
  <si>
    <r>
      <t xml:space="preserve">Eternal Emperador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</si>
  <si>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Eternal Marfil       </t>
    </r>
    <r>
      <rPr>
        <b/>
        <sz val="10"/>
        <color indexed="10"/>
        <rFont val="Arial Cyr"/>
        <family val="0"/>
      </rPr>
      <t xml:space="preserve">       </t>
    </r>
  </si>
  <si>
    <r>
      <t xml:space="preserve">Bianco Calacatta       </t>
    </r>
    <r>
      <rPr>
        <b/>
        <sz val="10"/>
        <color indexed="10"/>
        <rFont val="Arial Cyr"/>
        <family val="0"/>
      </rPr>
      <t xml:space="preserve">     заказ</t>
    </r>
  </si>
  <si>
    <r>
      <t xml:space="preserve">Eternal Noir                  </t>
    </r>
    <r>
      <rPr>
        <b/>
        <sz val="10"/>
        <color indexed="10"/>
        <rFont val="Arial Cyr"/>
        <family val="0"/>
      </rPr>
      <t xml:space="preserve">         !</t>
    </r>
  </si>
  <si>
    <r>
      <t xml:space="preserve">Polaris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  заказ</t>
    </r>
  </si>
  <si>
    <t>Aluminio nube</t>
  </si>
  <si>
    <t xml:space="preserve">Blanco Maple </t>
  </si>
  <si>
    <r>
      <t xml:space="preserve">Miami White 17      </t>
    </r>
    <r>
      <rPr>
        <b/>
        <sz val="10"/>
        <color indexed="30"/>
        <rFont val="Arial Cyr"/>
        <family val="0"/>
      </rPr>
      <t>new</t>
    </r>
  </si>
  <si>
    <r>
      <t xml:space="preserve">Silken Pearl          </t>
    </r>
    <r>
      <rPr>
        <b/>
        <sz val="10"/>
        <color indexed="30"/>
        <rFont val="Arial Cyr"/>
        <family val="0"/>
      </rPr>
      <t xml:space="preserve"> new</t>
    </r>
  </si>
  <si>
    <t xml:space="preserve">Unsui </t>
  </si>
  <si>
    <r>
      <t xml:space="preserve">Eternal Marquina   </t>
    </r>
    <r>
      <rPr>
        <b/>
        <sz val="10"/>
        <color indexed="30"/>
        <rFont val="Arial Cyr"/>
        <family val="0"/>
      </rPr>
      <t xml:space="preserve"> new</t>
    </r>
  </si>
  <si>
    <t>Минимальный заказ - кратно паллеты.</t>
  </si>
  <si>
    <t>Формат: 3050х1300</t>
  </si>
  <si>
    <t>0110 BS</t>
  </si>
  <si>
    <t>0106 BS</t>
  </si>
  <si>
    <t>0197 BS</t>
  </si>
  <si>
    <t>0244 BS</t>
  </si>
  <si>
    <t>0245 BS</t>
  </si>
  <si>
    <t>0301 BS</t>
  </si>
  <si>
    <t>0514 BS</t>
  </si>
  <si>
    <t>0522 BS</t>
  </si>
  <si>
    <t>0540 BS</t>
  </si>
  <si>
    <t>0564 BS</t>
  </si>
  <si>
    <t>0859 BS</t>
  </si>
  <si>
    <t>0881 BS</t>
  </si>
  <si>
    <t>1700 BS</t>
  </si>
  <si>
    <t>8100 BS</t>
  </si>
  <si>
    <t>A103 BS</t>
  </si>
  <si>
    <t>K096 BS</t>
  </si>
  <si>
    <t>K097 BS</t>
  </si>
  <si>
    <t>K098 BS</t>
  </si>
  <si>
    <t>K099 BS</t>
  </si>
  <si>
    <t>K100 BS</t>
  </si>
  <si>
    <t>7045 BS</t>
  </si>
  <si>
    <t>7063 BS</t>
  </si>
  <si>
    <t>8348 BS</t>
  </si>
  <si>
    <t>Доплата 5 евро/м2.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</si>
</sst>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.0"/>
    <numFmt numFmtId="199" formatCode="0.0%"/>
    <numFmt numFmtId="200" formatCode="0.0"/>
    <numFmt numFmtId="201" formatCode="[$€-2]\ #,##0.00"/>
    <numFmt numFmtId="202" formatCode="[$-422]d\ mmmm\ yyyy&quot; р.&quot;"/>
  </numFmts>
  <fonts count="123">
    <font>
      <sz val="10"/>
      <name val="Arial Cyr"/>
      <family val="2"/>
    </font>
    <font>
      <sz val="10"/>
      <name val="Arial"/>
      <family val="0"/>
    </font>
    <font>
      <b/>
      <sz val="11"/>
      <color indexed="18"/>
      <name val="Arial Cyr"/>
      <family val="2"/>
    </font>
    <font>
      <u val="single"/>
      <sz val="10"/>
      <color indexed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Cyr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22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8"/>
      <name val="Arial Cyr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indexed="18"/>
      <name val="Arial Cyr"/>
      <family val="2"/>
    </font>
    <font>
      <b/>
      <sz val="10"/>
      <color indexed="8"/>
      <name val="Arial"/>
      <family val="2"/>
    </font>
    <font>
      <sz val="10"/>
      <color indexed="59"/>
      <name val="Arial Cyr"/>
      <family val="2"/>
    </font>
    <font>
      <b/>
      <sz val="11"/>
      <color indexed="63"/>
      <name val="Arial Cyr"/>
      <family val="2"/>
    </font>
    <font>
      <sz val="10"/>
      <color indexed="63"/>
      <name val="Arial Cyr"/>
      <family val="2"/>
    </font>
    <font>
      <b/>
      <sz val="12"/>
      <color indexed="18"/>
      <name val="Arial Cyr"/>
      <family val="2"/>
    </font>
    <font>
      <sz val="9"/>
      <color indexed="18"/>
      <name val="Arial Cyr"/>
      <family val="2"/>
    </font>
    <font>
      <sz val="11"/>
      <color indexed="63"/>
      <name val="Arial Cyr"/>
      <family val="2"/>
    </font>
    <font>
      <sz val="8"/>
      <color indexed="18"/>
      <name val="Arial Cyr"/>
      <family val="2"/>
    </font>
    <font>
      <b/>
      <sz val="8"/>
      <color indexed="18"/>
      <name val="Arial Cyr"/>
      <family val="2"/>
    </font>
    <font>
      <b/>
      <sz val="10"/>
      <color indexed="63"/>
      <name val="Arial Cyr"/>
      <family val="2"/>
    </font>
    <font>
      <sz val="14"/>
      <color indexed="18"/>
      <name val="Arial Cyr"/>
      <family val="2"/>
    </font>
    <font>
      <sz val="22"/>
      <color indexed="18"/>
      <name val="Arial Cyr"/>
      <family val="2"/>
    </font>
    <font>
      <sz val="18"/>
      <color indexed="18"/>
      <name val="Arial Cyr"/>
      <family val="2"/>
    </font>
    <font>
      <sz val="18"/>
      <name val="Arial Cyr"/>
      <family val="2"/>
    </font>
    <font>
      <sz val="10"/>
      <color indexed="8"/>
      <name val="Arial Cyr"/>
      <family val="2"/>
    </font>
    <font>
      <b/>
      <sz val="10"/>
      <color indexed="59"/>
      <name val="Arial Cyr"/>
      <family val="2"/>
    </font>
    <font>
      <sz val="14"/>
      <color indexed="18"/>
      <name val="Arial"/>
      <family val="2"/>
    </font>
    <font>
      <u val="single"/>
      <sz val="10"/>
      <color indexed="36"/>
      <name val="Arial Cyr"/>
      <family val="2"/>
    </font>
    <font>
      <b/>
      <sz val="18"/>
      <color indexed="18"/>
      <name val="Arial Cyr"/>
      <family val="2"/>
    </font>
    <font>
      <sz val="12"/>
      <color indexed="18"/>
      <name val="Arial Cyr"/>
      <family val="0"/>
    </font>
    <font>
      <sz val="8"/>
      <name val="Arial Cyr"/>
      <family val="2"/>
    </font>
    <font>
      <b/>
      <sz val="14"/>
      <color indexed="18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Arial"/>
      <family val="2"/>
    </font>
    <font>
      <u val="single"/>
      <sz val="14"/>
      <color indexed="12"/>
      <name val="Arial Cyr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i/>
      <sz val="10"/>
      <color indexed="18"/>
      <name val="Arial Cyr"/>
      <family val="0"/>
    </font>
    <font>
      <b/>
      <sz val="12"/>
      <name val="Arial Cyr"/>
      <family val="0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sz val="11"/>
      <name val="Arial Cyr"/>
      <family val="2"/>
    </font>
    <font>
      <sz val="9"/>
      <color indexed="63"/>
      <name val="Arial Cyr"/>
      <family val="2"/>
    </font>
    <font>
      <b/>
      <sz val="9"/>
      <color indexed="18"/>
      <name val="Arial Cyr"/>
      <family val="0"/>
    </font>
    <font>
      <sz val="10"/>
      <color indexed="12"/>
      <name val="Arial Cyr"/>
      <family val="2"/>
    </font>
    <font>
      <sz val="8"/>
      <color indexed="18"/>
      <name val="Times New Roman"/>
      <family val="1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1"/>
      <color indexed="59"/>
      <name val="Arial"/>
      <family val="2"/>
    </font>
    <font>
      <b/>
      <sz val="10"/>
      <color indexed="12"/>
      <name val="Arial Cyr"/>
      <family val="0"/>
    </font>
    <font>
      <b/>
      <sz val="11"/>
      <name val="Arial Cyr"/>
      <family val="0"/>
    </font>
    <font>
      <b/>
      <sz val="10"/>
      <color indexed="9"/>
      <name val="Arial Cyr"/>
      <family val="2"/>
    </font>
    <font>
      <u val="single"/>
      <sz val="10"/>
      <name val="Arial Cyr"/>
      <family val="2"/>
    </font>
    <font>
      <b/>
      <sz val="10"/>
      <color indexed="10"/>
      <name val="Arial Cyr"/>
      <family val="0"/>
    </font>
    <font>
      <b/>
      <sz val="16"/>
      <color indexed="10"/>
      <name val="Arial"/>
      <family val="2"/>
    </font>
    <font>
      <b/>
      <sz val="16"/>
      <color indexed="10"/>
      <name val="Arial CYR"/>
      <family val="2"/>
    </font>
    <font>
      <b/>
      <u val="single"/>
      <sz val="16"/>
      <color indexed="58"/>
      <name val="Arial"/>
      <family val="2"/>
    </font>
    <font>
      <u val="single"/>
      <sz val="10"/>
      <color indexed="18"/>
      <name val="Arial Cyr"/>
      <family val="2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1"/>
      <color indexed="12"/>
      <name val="Calibri"/>
      <family val="2"/>
    </font>
    <font>
      <b/>
      <sz val="14"/>
      <name val="Arial Cyr"/>
      <family val="0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0" fillId="0" borderId="0">
      <alignment/>
      <protection/>
    </xf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8" borderId="7" applyNumberFormat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21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8" fillId="0" borderId="0" xfId="56" applyFont="1" applyBorder="1">
      <alignment/>
      <protection/>
    </xf>
    <xf numFmtId="0" fontId="3" fillId="0" borderId="0" xfId="43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8" fillId="0" borderId="0" xfId="56" applyFont="1">
      <alignment/>
      <protection/>
    </xf>
    <xf numFmtId="0" fontId="23" fillId="0" borderId="0" xfId="56" applyFont="1">
      <alignment/>
      <protection/>
    </xf>
    <xf numFmtId="0" fontId="8" fillId="0" borderId="0" xfId="56" applyFont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3" fillId="0" borderId="0" xfId="43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4" fontId="31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9" fontId="2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33">
      <alignment/>
      <protection/>
    </xf>
    <xf numFmtId="0" fontId="20" fillId="0" borderId="0" xfId="56" applyFont="1" applyBorder="1" applyAlignment="1">
      <alignment horizontal="left" vertical="center" wrapText="1"/>
      <protection/>
    </xf>
    <xf numFmtId="0" fontId="11" fillId="34" borderId="11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7" fillId="34" borderId="11" xfId="0" applyFont="1" applyFill="1" applyBorder="1" applyAlignment="1">
      <alignment horizontal="center" vertical="center" wrapText="1"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3" fillId="0" borderId="0" xfId="43" applyAlignment="1">
      <alignment/>
    </xf>
    <xf numFmtId="0" fontId="0" fillId="0" borderId="0" xfId="0" applyBorder="1" applyAlignment="1">
      <alignment horizontal="left"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1" fillId="0" borderId="0" xfId="56" applyBorder="1">
      <alignment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2" fontId="39" fillId="0" borderId="11" xfId="56" applyNumberFormat="1" applyFont="1" applyFill="1" applyBorder="1" applyAlignment="1">
      <alignment horizontal="center" vertical="center" wrapText="1"/>
      <protection/>
    </xf>
    <xf numFmtId="2" fontId="13" fillId="0" borderId="0" xfId="56" applyNumberFormat="1" applyFont="1" applyFill="1" applyBorder="1" applyAlignment="1">
      <alignment horizontal="center" vertical="center" wrapText="1"/>
      <protection/>
    </xf>
    <xf numFmtId="0" fontId="14" fillId="0" borderId="0" xfId="56" applyFont="1" applyBorder="1" applyAlignment="1">
      <alignment horizontal="center" vertical="center" wrapText="1"/>
      <protection/>
    </xf>
    <xf numFmtId="4" fontId="23" fillId="0" borderId="0" xfId="56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0" fontId="49" fillId="0" borderId="0" xfId="43" applyFont="1" applyAlignment="1">
      <alignment horizontal="center"/>
    </xf>
    <xf numFmtId="0" fontId="15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left" vertical="center" wrapText="1"/>
      <protection/>
    </xf>
    <xf numFmtId="4" fontId="15" fillId="0" borderId="0" xfId="0" applyNumberFormat="1" applyFont="1" applyBorder="1" applyAlignment="1">
      <alignment horizontal="center" vertical="center" wrapText="1"/>
    </xf>
    <xf numFmtId="0" fontId="1" fillId="0" borderId="0" xfId="56" applyFont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9" fillId="0" borderId="0" xfId="56" applyFont="1" applyFill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24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43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14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center"/>
    </xf>
    <xf numFmtId="14" fontId="56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1" fontId="10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57" applyFont="1">
      <alignment/>
      <protection/>
    </xf>
    <xf numFmtId="0" fontId="10" fillId="0" borderId="0" xfId="57" applyFont="1" applyAlignment="1">
      <alignment horizontal="center" vertical="center" wrapText="1"/>
      <protection/>
    </xf>
    <xf numFmtId="0" fontId="35" fillId="0" borderId="0" xfId="57" applyFont="1" applyAlignment="1">
      <alignment horizontal="center"/>
      <protection/>
    </xf>
    <xf numFmtId="14" fontId="10" fillId="0" borderId="0" xfId="57" applyNumberFormat="1" applyFont="1" applyAlignment="1">
      <alignment horizontal="center"/>
      <protection/>
    </xf>
    <xf numFmtId="14" fontId="10" fillId="0" borderId="0" xfId="57" applyNumberFormat="1" applyFont="1" applyFill="1" applyAlignment="1">
      <alignment horizontal="center"/>
      <protection/>
    </xf>
    <xf numFmtId="0" fontId="35" fillId="0" borderId="0" xfId="57" applyFont="1" applyFill="1" applyAlignment="1">
      <alignment horizontal="center"/>
      <protection/>
    </xf>
    <xf numFmtId="0" fontId="3" fillId="0" borderId="0" xfId="43" applyFill="1" applyAlignment="1">
      <alignment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10" fillId="0" borderId="0" xfId="57" applyFont="1" applyFill="1" applyBorder="1">
      <alignment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4" fontId="24" fillId="0" borderId="0" xfId="57" applyNumberFormat="1" applyFont="1" applyFill="1" applyBorder="1" applyAlignment="1">
      <alignment horizontal="center" vertical="center" wrapText="1"/>
      <protection/>
    </xf>
    <xf numFmtId="4" fontId="24" fillId="0" borderId="0" xfId="57" applyNumberFormat="1" applyFont="1" applyBorder="1" applyAlignment="1">
      <alignment horizontal="center" vertical="center" wrapText="1"/>
      <protection/>
    </xf>
    <xf numFmtId="0" fontId="10" fillId="0" borderId="0" xfId="57" applyFont="1" applyBorder="1">
      <alignment/>
      <protection/>
    </xf>
    <xf numFmtId="0" fontId="17" fillId="0" borderId="0" xfId="57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49" fontId="30" fillId="35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 vertical="center" wrapText="1"/>
      <protection/>
    </xf>
    <xf numFmtId="0" fontId="39" fillId="0" borderId="12" xfId="56" applyFont="1" applyFill="1" applyBorder="1" applyAlignment="1">
      <alignment horizontal="left" vertical="center" wrapText="1"/>
      <protection/>
    </xf>
    <xf numFmtId="0" fontId="39" fillId="0" borderId="13" xfId="56" applyFont="1" applyFill="1" applyBorder="1" applyAlignment="1">
      <alignment horizontal="left" vertical="center" wrapText="1"/>
      <protection/>
    </xf>
    <xf numFmtId="0" fontId="39" fillId="0" borderId="14" xfId="56" applyFont="1" applyFill="1" applyBorder="1" applyAlignment="1">
      <alignment horizontal="center" vertical="center" wrapText="1"/>
      <protection/>
    </xf>
    <xf numFmtId="3" fontId="39" fillId="0" borderId="12" xfId="56" applyNumberFormat="1" applyFont="1" applyFill="1" applyBorder="1" applyAlignment="1">
      <alignment horizontal="center" vertical="center" wrapText="1"/>
      <protection/>
    </xf>
    <xf numFmtId="3" fontId="39" fillId="0" borderId="11" xfId="56" applyNumberFormat="1" applyFont="1" applyFill="1" applyBorder="1" applyAlignment="1">
      <alignment horizontal="center" vertical="center" wrapText="1"/>
      <protection/>
    </xf>
    <xf numFmtId="3" fontId="39" fillId="0" borderId="13" xfId="56" applyNumberFormat="1" applyFont="1" applyFill="1" applyBorder="1" applyAlignment="1">
      <alignment horizontal="center" vertical="center" wrapText="1"/>
      <protection/>
    </xf>
    <xf numFmtId="4" fontId="39" fillId="0" borderId="12" xfId="56" applyNumberFormat="1" applyFont="1" applyFill="1" applyBorder="1" applyAlignment="1">
      <alignment horizontal="center" vertical="center" wrapText="1"/>
      <protection/>
    </xf>
    <xf numFmtId="4" fontId="39" fillId="0" borderId="11" xfId="56" applyNumberFormat="1" applyFont="1" applyFill="1" applyBorder="1" applyAlignment="1">
      <alignment horizontal="center" vertical="center" wrapText="1"/>
      <protection/>
    </xf>
    <xf numFmtId="0" fontId="39" fillId="0" borderId="15" xfId="56" applyFont="1" applyFill="1" applyBorder="1" applyAlignment="1">
      <alignment horizontal="left" vertical="center" wrapText="1"/>
      <protection/>
    </xf>
    <xf numFmtId="0" fontId="39" fillId="0" borderId="16" xfId="56" applyFont="1" applyFill="1" applyBorder="1" applyAlignment="1">
      <alignment horizontal="left" vertical="center" wrapText="1"/>
      <protection/>
    </xf>
    <xf numFmtId="0" fontId="39" fillId="0" borderId="17" xfId="56" applyFont="1" applyFill="1" applyBorder="1" applyAlignment="1">
      <alignment horizontal="center" vertical="center" wrapText="1"/>
      <protection/>
    </xf>
    <xf numFmtId="3" fontId="39" fillId="0" borderId="15" xfId="56" applyNumberFormat="1" applyFont="1" applyFill="1" applyBorder="1" applyAlignment="1">
      <alignment horizontal="center" vertical="center" wrapText="1"/>
      <protection/>
    </xf>
    <xf numFmtId="3" fontId="39" fillId="0" borderId="18" xfId="56" applyNumberFormat="1" applyFont="1" applyFill="1" applyBorder="1" applyAlignment="1">
      <alignment horizontal="center" vertical="center" wrapText="1"/>
      <protection/>
    </xf>
    <xf numFmtId="3" fontId="39" fillId="0" borderId="16" xfId="56" applyNumberFormat="1" applyFont="1" applyFill="1" applyBorder="1" applyAlignment="1">
      <alignment horizontal="center" vertical="center" wrapText="1"/>
      <protection/>
    </xf>
    <xf numFmtId="0" fontId="16" fillId="0" borderId="0" xfId="56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5" fillId="0" borderId="11" xfId="56" applyFont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33" borderId="0" xfId="33" applyFill="1" applyAlignment="1">
      <alignment horizontal="center"/>
      <protection/>
    </xf>
    <xf numFmtId="0" fontId="0" fillId="33" borderId="0" xfId="33" applyFill="1">
      <alignment/>
      <protection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35" fillId="0" borderId="0" xfId="57" applyFont="1" applyAlignment="1">
      <alignment wrapText="1"/>
      <protection/>
    </xf>
    <xf numFmtId="0" fontId="3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1" fillId="34" borderId="0" xfId="0" applyFont="1" applyFill="1" applyBorder="1" applyAlignment="1">
      <alignment vertical="center" wrapText="1"/>
    </xf>
    <xf numFmtId="0" fontId="66" fillId="34" borderId="0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24" fillId="0" borderId="0" xfId="57" applyFont="1" applyFill="1" applyAlignment="1">
      <alignment/>
      <protection/>
    </xf>
    <xf numFmtId="49" fontId="17" fillId="0" borderId="0" xfId="57" applyNumberFormat="1" applyFont="1" applyBorder="1" applyAlignment="1">
      <alignment horizontal="center" vertical="center" wrapText="1"/>
      <protection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7" fillId="0" borderId="0" xfId="57" applyFont="1" applyFill="1" applyBorder="1" applyAlignment="1">
      <alignment vertical="center" wrapText="1"/>
      <protection/>
    </xf>
    <xf numFmtId="0" fontId="7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/>
    </xf>
    <xf numFmtId="14" fontId="6" fillId="0" borderId="0" xfId="56" applyNumberFormat="1" applyFont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right"/>
      <protection/>
    </xf>
    <xf numFmtId="0" fontId="28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43" fillId="0" borderId="0" xfId="44" applyNumberFormat="1" applyFont="1" applyFill="1" applyBorder="1" applyAlignment="1" applyProtection="1">
      <alignment vertical="center" wrapText="1"/>
      <protection/>
    </xf>
    <xf numFmtId="0" fontId="43" fillId="0" borderId="0" xfId="44" applyNumberFormat="1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3" fillId="0" borderId="0" xfId="0" applyFont="1" applyAlignment="1">
      <alignment/>
    </xf>
    <xf numFmtId="0" fontId="17" fillId="0" borderId="0" xfId="55" applyFont="1" applyBorder="1" applyAlignment="1">
      <alignment horizontal="left" vertical="center" wrapText="1"/>
      <protection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3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2" fontId="10" fillId="0" borderId="11" xfId="0" applyNumberFormat="1" applyFont="1" applyBorder="1" applyAlignment="1">
      <alignment horizontal="center" vertical="center" wrapText="1" shrinkToFit="1"/>
    </xf>
    <xf numFmtId="0" fontId="3" fillId="0" borderId="0" xfId="43" applyNumberFormat="1" applyFill="1" applyBorder="1" applyAlignment="1" applyProtection="1">
      <alignment horizontal="center" vertical="center" wrapText="1"/>
      <protection/>
    </xf>
    <xf numFmtId="0" fontId="47" fillId="0" borderId="10" xfId="43" applyNumberFormat="1" applyFont="1" applyFill="1" applyBorder="1" applyAlignment="1" applyProtection="1">
      <alignment horizontal="center" vertical="center" wrapText="1"/>
      <protection/>
    </xf>
    <xf numFmtId="0" fontId="47" fillId="0" borderId="22" xfId="43" applyNumberFormat="1" applyFont="1" applyFill="1" applyBorder="1" applyAlignment="1" applyProtection="1">
      <alignment horizontal="center" vertical="center" wrapText="1"/>
      <protection/>
    </xf>
    <xf numFmtId="0" fontId="47" fillId="0" borderId="23" xfId="43" applyNumberFormat="1" applyFont="1" applyFill="1" applyBorder="1" applyAlignment="1" applyProtection="1">
      <alignment horizontal="center" vertical="center" wrapText="1"/>
      <protection/>
    </xf>
    <xf numFmtId="0" fontId="3" fillId="0" borderId="24" xfId="43" applyNumberFormat="1" applyFont="1" applyFill="1" applyBorder="1" applyAlignment="1" applyProtection="1">
      <alignment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64" fillId="0" borderId="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3" fillId="0" borderId="0" xfId="43" applyNumberFormat="1" applyFont="1" applyFill="1" applyBorder="1" applyAlignment="1" applyProtection="1">
      <alignment horizontal="left" vertical="center" wrapText="1"/>
      <protection/>
    </xf>
    <xf numFmtId="0" fontId="3" fillId="0" borderId="0" xfId="43" applyNumberFormat="1" applyFont="1" applyFill="1" applyBorder="1" applyAlignment="1" applyProtection="1">
      <alignment vertical="center" wrapText="1"/>
      <protection/>
    </xf>
    <xf numFmtId="0" fontId="72" fillId="0" borderId="0" xfId="43" applyNumberFormat="1" applyFont="1" applyFill="1" applyBorder="1" applyAlignment="1" applyProtection="1">
      <alignment horizontal="left" vertical="center" wrapText="1"/>
      <protection/>
    </xf>
    <xf numFmtId="0" fontId="24" fillId="37" borderId="29" xfId="0" applyFont="1" applyFill="1" applyBorder="1" applyAlignment="1">
      <alignment horizontal="center" vertical="center" wrapText="1"/>
    </xf>
    <xf numFmtId="0" fontId="24" fillId="37" borderId="30" xfId="0" applyFont="1" applyFill="1" applyBorder="1" applyAlignment="1">
      <alignment horizontal="center" vertical="center" wrapText="1"/>
    </xf>
    <xf numFmtId="0" fontId="24" fillId="37" borderId="31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left" vertical="center" wrapText="1"/>
    </xf>
    <xf numFmtId="0" fontId="32" fillId="37" borderId="32" xfId="0" applyFont="1" applyFill="1" applyBorder="1" applyAlignment="1">
      <alignment horizontal="left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32" fillId="37" borderId="34" xfId="0" applyFont="1" applyFill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34" xfId="0" applyNumberForma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left" vertical="center" wrapText="1"/>
    </xf>
    <xf numFmtId="1" fontId="0" fillId="0" borderId="37" xfId="0" applyNumberFormat="1" applyFill="1" applyBorder="1" applyAlignment="1">
      <alignment horizontal="center" vertical="center" wrapText="1"/>
    </xf>
    <xf numFmtId="1" fontId="0" fillId="0" borderId="38" xfId="0" applyNumberForma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4" fontId="30" fillId="37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3" fontId="52" fillId="0" borderId="39" xfId="0" applyNumberFormat="1" applyFont="1" applyFill="1" applyBorder="1" applyAlignment="1">
      <alignment horizontal="center" vertical="center" wrapText="1"/>
    </xf>
    <xf numFmtId="198" fontId="10" fillId="0" borderId="4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4" fontId="60" fillId="0" borderId="41" xfId="0" applyNumberFormat="1" applyFont="1" applyBorder="1" applyAlignment="1">
      <alignment horizontal="center" vertical="center" wrapText="1"/>
    </xf>
    <xf numFmtId="2" fontId="17" fillId="0" borderId="42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98" fontId="10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/>
    </xf>
    <xf numFmtId="49" fontId="5" fillId="0" borderId="45" xfId="0" applyNumberFormat="1" applyFont="1" applyBorder="1" applyAlignment="1">
      <alignment/>
    </xf>
    <xf numFmtId="49" fontId="0" fillId="0" borderId="46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7" xfId="0" applyNumberFormat="1" applyBorder="1" applyAlignment="1">
      <alignment/>
    </xf>
    <xf numFmtId="3" fontId="52" fillId="0" borderId="48" xfId="0" applyNumberFormat="1" applyFont="1" applyFill="1" applyBorder="1" applyAlignment="1">
      <alignment horizontal="center" vertical="center" wrapText="1"/>
    </xf>
    <xf numFmtId="3" fontId="52" fillId="0" borderId="49" xfId="0" applyNumberFormat="1" applyFont="1" applyFill="1" applyBorder="1" applyAlignment="1">
      <alignment horizontal="center" vertical="center" wrapText="1"/>
    </xf>
    <xf numFmtId="3" fontId="52" fillId="0" borderId="50" xfId="0" applyNumberFormat="1" applyFont="1" applyFill="1" applyBorder="1" applyAlignment="1">
      <alignment horizontal="center" vertical="center" wrapText="1"/>
    </xf>
    <xf numFmtId="0" fontId="77" fillId="0" borderId="0" xfId="43" applyNumberFormat="1" applyFont="1" applyFill="1" applyBorder="1" applyAlignment="1" applyProtection="1">
      <alignment wrapText="1"/>
      <protection/>
    </xf>
    <xf numFmtId="3" fontId="10" fillId="0" borderId="12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3" fillId="0" borderId="34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52" xfId="0" applyFill="1" applyBorder="1" applyAlignment="1">
      <alignment/>
    </xf>
    <xf numFmtId="0" fontId="5" fillId="0" borderId="55" xfId="0" applyFont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17" fillId="0" borderId="22" xfId="57" applyFont="1" applyFill="1" applyBorder="1" applyAlignment="1">
      <alignment horizontal="center" vertical="center" wrapText="1"/>
      <protection/>
    </xf>
    <xf numFmtId="2" fontId="44" fillId="0" borderId="11" xfId="57" applyNumberFormat="1" applyFont="1" applyBorder="1" applyAlignment="1">
      <alignment horizontal="center"/>
      <protection/>
    </xf>
    <xf numFmtId="2" fontId="44" fillId="0" borderId="11" xfId="0" applyNumberFormat="1" applyFont="1" applyBorder="1" applyAlignment="1">
      <alignment horizontal="center"/>
    </xf>
    <xf numFmtId="0" fontId="17" fillId="35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30" fillId="0" borderId="56" xfId="0" applyNumberFormat="1" applyFont="1" applyFill="1" applyBorder="1" applyAlignment="1">
      <alignment horizontal="center" vertical="center" wrapText="1"/>
    </xf>
    <xf numFmtId="49" fontId="10" fillId="0" borderId="0" xfId="57" applyNumberFormat="1" applyFont="1" applyAlignment="1">
      <alignment horizontal="center" vertical="center"/>
      <protection/>
    </xf>
    <xf numFmtId="49" fontId="10" fillId="0" borderId="0" xfId="57" applyNumberFormat="1" applyFont="1" applyAlignment="1">
      <alignment horizontal="center" vertical="center" wrapText="1"/>
      <protection/>
    </xf>
    <xf numFmtId="49" fontId="10" fillId="0" borderId="0" xfId="57" applyNumberFormat="1" applyFont="1">
      <alignment/>
      <protection/>
    </xf>
    <xf numFmtId="0" fontId="70" fillId="0" borderId="34" xfId="0" applyFont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/>
    </xf>
    <xf numFmtId="0" fontId="0" fillId="38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17" fillId="35" borderId="11" xfId="5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3" fontId="24" fillId="0" borderId="11" xfId="57" applyNumberFormat="1" applyFont="1" applyFill="1" applyBorder="1" applyAlignment="1">
      <alignment horizontal="center" vertical="center" wrapText="1"/>
      <protection/>
    </xf>
    <xf numFmtId="0" fontId="5" fillId="38" borderId="34" xfId="0" applyFont="1" applyFill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wrapText="1" shrinkToFit="1"/>
    </xf>
    <xf numFmtId="2" fontId="5" fillId="38" borderId="11" xfId="0" applyNumberFormat="1" applyFont="1" applyFill="1" applyBorder="1" applyAlignment="1">
      <alignment horizontal="center" vertical="center" wrapText="1" shrinkToFit="1"/>
    </xf>
    <xf numFmtId="0" fontId="79" fillId="0" borderId="0" xfId="0" applyFont="1" applyAlignment="1">
      <alignment/>
    </xf>
    <xf numFmtId="0" fontId="9" fillId="0" borderId="0" xfId="56" applyFont="1" applyFill="1" applyBorder="1" applyAlignment="1">
      <alignment vertical="center" wrapText="1"/>
      <protection/>
    </xf>
    <xf numFmtId="0" fontId="9" fillId="37" borderId="22" xfId="56" applyFont="1" applyFill="1" applyBorder="1" applyAlignment="1">
      <alignment horizontal="center" vertical="center" wrapText="1"/>
      <protection/>
    </xf>
    <xf numFmtId="0" fontId="9" fillId="37" borderId="58" xfId="56" applyFont="1" applyFill="1" applyBorder="1" applyAlignment="1">
      <alignment horizontal="center" vertical="center" wrapText="1"/>
      <protection/>
    </xf>
    <xf numFmtId="4" fontId="12" fillId="37" borderId="59" xfId="56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0" fillId="0" borderId="0" xfId="0" applyFont="1" applyAlignment="1">
      <alignment/>
    </xf>
    <xf numFmtId="0" fontId="80" fillId="0" borderId="11" xfId="56" applyFont="1" applyBorder="1" applyAlignment="1">
      <alignment horizontal="center" vertical="center" wrapText="1"/>
      <protection/>
    </xf>
    <xf numFmtId="200" fontId="39" fillId="0" borderId="60" xfId="56" applyNumberFormat="1" applyFont="1" applyFill="1" applyBorder="1" applyAlignment="1">
      <alignment horizontal="center" vertical="center" wrapText="1"/>
      <protection/>
    </xf>
    <xf numFmtId="200" fontId="39" fillId="0" borderId="10" xfId="56" applyNumberFormat="1" applyFont="1" applyFill="1" applyBorder="1" applyAlignment="1">
      <alignment horizontal="center" vertical="center" wrapText="1"/>
      <protection/>
    </xf>
    <xf numFmtId="0" fontId="11" fillId="37" borderId="10" xfId="56" applyFont="1" applyFill="1" applyBorder="1" applyAlignment="1">
      <alignment horizontal="center" vertical="center" wrapText="1"/>
      <protection/>
    </xf>
    <xf numFmtId="4" fontId="12" fillId="37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4" fontId="23" fillId="0" borderId="10" xfId="56" applyNumberFormat="1" applyFont="1" applyFill="1" applyBorder="1" applyAlignment="1">
      <alignment horizontal="center" vertical="center" wrapText="1"/>
      <protection/>
    </xf>
    <xf numFmtId="2" fontId="39" fillId="0" borderId="10" xfId="56" applyNumberFormat="1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left" vertical="center" wrapText="1"/>
      <protection/>
    </xf>
    <xf numFmtId="4" fontId="24" fillId="0" borderId="10" xfId="56" applyNumberFormat="1" applyFont="1" applyBorder="1" applyAlignment="1">
      <alignment horizontal="center" vertical="center" wrapText="1"/>
      <protection/>
    </xf>
    <xf numFmtId="4" fontId="51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0" borderId="0" xfId="33" applyFont="1">
      <alignment/>
      <protection/>
    </xf>
    <xf numFmtId="0" fontId="0" fillId="0" borderId="0" xfId="33" applyAlignment="1">
      <alignment horizontal="center"/>
      <protection/>
    </xf>
    <xf numFmtId="0" fontId="0" fillId="39" borderId="0" xfId="0" applyFill="1" applyBorder="1" applyAlignment="1">
      <alignment/>
    </xf>
    <xf numFmtId="0" fontId="122" fillId="0" borderId="0" xfId="0" applyFont="1" applyAlignment="1">
      <alignment horizontal="center" vertical="center"/>
    </xf>
    <xf numFmtId="0" fontId="0" fillId="0" borderId="61" xfId="0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left"/>
    </xf>
    <xf numFmtId="0" fontId="5" fillId="36" borderId="21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21" xfId="0" applyBorder="1" applyAlignment="1">
      <alignment/>
    </xf>
    <xf numFmtId="0" fontId="5" fillId="35" borderId="55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62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Border="1" applyAlignment="1">
      <alignment horizontal="center" wrapText="1"/>
    </xf>
    <xf numFmtId="20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5" fillId="0" borderId="63" xfId="0" applyFont="1" applyBorder="1" applyAlignment="1">
      <alignment/>
    </xf>
    <xf numFmtId="201" fontId="0" fillId="0" borderId="0" xfId="0" applyNumberFormat="1" applyBorder="1" applyAlignment="1">
      <alignment/>
    </xf>
    <xf numFmtId="0" fontId="37" fillId="0" borderId="0" xfId="44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5" fillId="36" borderId="61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left"/>
    </xf>
    <xf numFmtId="0" fontId="5" fillId="36" borderId="6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36" borderId="19" xfId="0" applyFont="1" applyFill="1" applyBorder="1" applyAlignment="1">
      <alignment horizontal="center"/>
    </xf>
    <xf numFmtId="0" fontId="71" fillId="40" borderId="11" xfId="33" applyFont="1" applyFill="1" applyBorder="1" applyAlignment="1">
      <alignment horizontal="center" vertical="center"/>
      <protection/>
    </xf>
    <xf numFmtId="0" fontId="0" fillId="33" borderId="11" xfId="33" applyFont="1" applyFill="1" applyBorder="1" applyAlignment="1">
      <alignment horizontal="center" vertical="center" wrapText="1"/>
      <protection/>
    </xf>
    <xf numFmtId="0" fontId="0" fillId="0" borderId="0" xfId="33" applyBorder="1" applyAlignment="1">
      <alignment wrapText="1"/>
      <protection/>
    </xf>
    <xf numFmtId="0" fontId="0" fillId="0" borderId="0" xfId="33" applyAlignment="1">
      <alignment wrapText="1"/>
      <protection/>
    </xf>
    <xf numFmtId="0" fontId="0" fillId="0" borderId="0" xfId="33" applyBorder="1" applyAlignment="1">
      <alignment horizontal="center" wrapText="1"/>
      <protection/>
    </xf>
    <xf numFmtId="0" fontId="3" fillId="0" borderId="11" xfId="43" applyBorder="1" applyAlignment="1">
      <alignment horizontal="center" vertical="center"/>
    </xf>
    <xf numFmtId="0" fontId="3" fillId="0" borderId="11" xfId="43" applyFont="1" applyBorder="1" applyAlignment="1">
      <alignment horizontal="center" vertical="center"/>
    </xf>
    <xf numFmtId="0" fontId="0" fillId="41" borderId="11" xfId="33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3" borderId="11" xfId="33" applyFont="1" applyFill="1" applyBorder="1" applyAlignment="1">
      <alignment horizontal="center" vertical="center"/>
      <protection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14" fontId="19" fillId="0" borderId="67" xfId="0" applyNumberFormat="1" applyFont="1" applyBorder="1" applyAlignment="1">
      <alignment vertical="center" wrapText="1"/>
    </xf>
    <xf numFmtId="14" fontId="59" fillId="0" borderId="68" xfId="0" applyNumberFormat="1" applyFont="1" applyBorder="1" applyAlignment="1">
      <alignment vertical="center" wrapText="1"/>
    </xf>
    <xf numFmtId="0" fontId="0" fillId="33" borderId="23" xfId="33" applyFont="1" applyFill="1" applyBorder="1" applyAlignment="1">
      <alignment horizontal="center" vertical="center" wrapText="1"/>
      <protection/>
    </xf>
    <xf numFmtId="0" fontId="71" fillId="40" borderId="11" xfId="33" applyFont="1" applyFill="1" applyBorder="1" applyAlignment="1">
      <alignment horizontal="left" vertical="center"/>
      <protection/>
    </xf>
    <xf numFmtId="0" fontId="0" fillId="33" borderId="11" xfId="33" applyFont="1" applyFill="1" applyBorder="1" applyAlignment="1">
      <alignment horizontal="left" vertical="center" wrapText="1"/>
      <protection/>
    </xf>
    <xf numFmtId="0" fontId="1" fillId="33" borderId="11" xfId="33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center"/>
    </xf>
    <xf numFmtId="0" fontId="0" fillId="0" borderId="11" xfId="33" applyFont="1" applyFill="1" applyBorder="1" applyAlignment="1">
      <alignment horizontal="left" vertical="center" wrapText="1"/>
      <protection/>
    </xf>
    <xf numFmtId="0" fontId="1" fillId="0" borderId="11" xfId="33" applyFont="1" applyFill="1" applyBorder="1" applyAlignment="1">
      <alignment horizontal="left" vertical="center" wrapText="1"/>
      <protection/>
    </xf>
    <xf numFmtId="0" fontId="0" fillId="41" borderId="11" xfId="33" applyFill="1" applyBorder="1" applyAlignment="1">
      <alignment horizontal="left" vertical="center"/>
      <protection/>
    </xf>
    <xf numFmtId="0" fontId="0" fillId="41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33" borderId="11" xfId="33" applyFont="1" applyFill="1" applyBorder="1" applyAlignment="1">
      <alignment horizontal="left" vertical="center"/>
      <protection/>
    </xf>
    <xf numFmtId="1" fontId="0" fillId="0" borderId="34" xfId="58" applyNumberFormat="1" applyBorder="1" applyAlignment="1">
      <alignment horizontal="center" vertical="center"/>
      <protection/>
    </xf>
    <xf numFmtId="1" fontId="0" fillId="0" borderId="10" xfId="58" applyNumberFormat="1" applyBorder="1" applyAlignment="1">
      <alignment horizontal="center" vertical="center"/>
      <protection/>
    </xf>
    <xf numFmtId="1" fontId="0" fillId="0" borderId="32" xfId="58" applyNumberFormat="1" applyBorder="1" applyAlignment="1">
      <alignment horizontal="center" vertical="center"/>
      <protection/>
    </xf>
    <xf numFmtId="1" fontId="0" fillId="0" borderId="38" xfId="58" applyNumberFormat="1" applyBorder="1" applyAlignment="1">
      <alignment horizontal="center" vertical="center"/>
      <protection/>
    </xf>
    <xf numFmtId="1" fontId="0" fillId="0" borderId="37" xfId="58" applyNumberFormat="1" applyBorder="1" applyAlignment="1">
      <alignment horizontal="center" vertical="center"/>
      <protection/>
    </xf>
    <xf numFmtId="1" fontId="0" fillId="0" borderId="69" xfId="58" applyNumberFormat="1" applyBorder="1" applyAlignment="1">
      <alignment horizontal="center" vertical="center"/>
      <protection/>
    </xf>
    <xf numFmtId="0" fontId="64" fillId="0" borderId="70" xfId="0" applyFont="1" applyBorder="1" applyAlignment="1" applyProtection="1">
      <alignment horizontal="center"/>
      <protection/>
    </xf>
    <xf numFmtId="0" fontId="64" fillId="0" borderId="63" xfId="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4" fillId="0" borderId="19" xfId="43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64" fillId="0" borderId="19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71" xfId="0" applyBorder="1" applyAlignment="1">
      <alignment horizontal="center"/>
    </xf>
    <xf numFmtId="0" fontId="64" fillId="0" borderId="63" xfId="43" applyNumberFormat="1" applyFont="1" applyFill="1" applyBorder="1" applyAlignment="1" applyProtection="1">
      <alignment horizontal="center" vertical="center" wrapText="1"/>
      <protection/>
    </xf>
    <xf numFmtId="0" fontId="64" fillId="0" borderId="71" xfId="43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49" fontId="0" fillId="0" borderId="53" xfId="0" applyNumberFormat="1" applyBorder="1" applyAlignment="1">
      <alignment/>
    </xf>
    <xf numFmtId="0" fontId="6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72" fillId="0" borderId="0" xfId="43" applyNumberFormat="1" applyFont="1" applyFill="1" applyBorder="1" applyAlignment="1" applyProtection="1">
      <alignment wrapText="1"/>
      <protection/>
    </xf>
    <xf numFmtId="0" fontId="6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34" borderId="0" xfId="33" applyFont="1" applyFill="1" applyBorder="1" applyAlignment="1">
      <alignment horizontal="left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14" fontId="24" fillId="0" borderId="0" xfId="0" applyNumberFormat="1" applyFont="1" applyAlignment="1">
      <alignment horizontal="left" vertical="center" wrapText="1"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42" borderId="55" xfId="56" applyFont="1" applyFill="1" applyBorder="1" applyAlignment="1">
      <alignment horizontal="center" vertical="center" wrapText="1"/>
      <protection/>
    </xf>
    <xf numFmtId="0" fontId="9" fillId="42" borderId="56" xfId="56" applyFont="1" applyFill="1" applyBorder="1" applyAlignment="1">
      <alignment horizontal="center" vertical="center" wrapText="1"/>
      <protection/>
    </xf>
    <xf numFmtId="0" fontId="9" fillId="37" borderId="23" xfId="56" applyFont="1" applyFill="1" applyBorder="1" applyAlignment="1">
      <alignment horizontal="center" vertical="center" wrapText="1"/>
      <protection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56" applyFont="1" applyBorder="1" applyAlignment="1">
      <alignment horizontal="left" vertical="center" wrapText="1"/>
      <protection/>
    </xf>
    <xf numFmtId="0" fontId="21" fillId="0" borderId="34" xfId="56" applyFont="1" applyFill="1" applyBorder="1" applyAlignment="1">
      <alignment horizontal="left" vertical="center" wrapText="1"/>
      <protection/>
    </xf>
    <xf numFmtId="0" fontId="21" fillId="0" borderId="57" xfId="56" applyFont="1" applyFill="1" applyBorder="1" applyAlignment="1">
      <alignment horizontal="left" vertical="center" wrapText="1"/>
      <protection/>
    </xf>
    <xf numFmtId="0" fontId="21" fillId="0" borderId="72" xfId="56" applyFont="1" applyFill="1" applyBorder="1" applyAlignment="1">
      <alignment horizontal="left" vertical="center" wrapText="1"/>
      <protection/>
    </xf>
    <xf numFmtId="0" fontId="21" fillId="0" borderId="34" xfId="56" applyFont="1" applyFill="1" applyBorder="1" applyAlignment="1">
      <alignment horizontal="left" vertical="center" wrapText="1"/>
      <protection/>
    </xf>
    <xf numFmtId="0" fontId="21" fillId="0" borderId="57" xfId="56" applyFont="1" applyFill="1" applyBorder="1" applyAlignment="1">
      <alignment horizontal="left" vertical="center" wrapText="1"/>
      <protection/>
    </xf>
    <xf numFmtId="0" fontId="21" fillId="0" borderId="72" xfId="56" applyFont="1" applyFill="1" applyBorder="1" applyAlignment="1">
      <alignment horizontal="left" vertical="center" wrapText="1"/>
      <protection/>
    </xf>
    <xf numFmtId="0" fontId="25" fillId="0" borderId="34" xfId="56" applyFont="1" applyFill="1" applyBorder="1" applyAlignment="1">
      <alignment horizontal="left" vertical="center" wrapText="1"/>
      <protection/>
    </xf>
    <xf numFmtId="0" fontId="25" fillId="0" borderId="57" xfId="56" applyFont="1" applyFill="1" applyBorder="1" applyAlignment="1">
      <alignment horizontal="left" vertical="center" wrapText="1"/>
      <protection/>
    </xf>
    <xf numFmtId="0" fontId="25" fillId="0" borderId="72" xfId="56" applyFont="1" applyFill="1" applyBorder="1" applyAlignment="1">
      <alignment horizontal="left" vertical="center" wrapText="1"/>
      <protection/>
    </xf>
    <xf numFmtId="0" fontId="9" fillId="37" borderId="10" xfId="56" applyFont="1" applyFill="1" applyBorder="1" applyAlignment="1">
      <alignment horizontal="center" vertical="center" wrapText="1"/>
      <protection/>
    </xf>
    <xf numFmtId="14" fontId="6" fillId="0" borderId="0" xfId="56" applyNumberFormat="1" applyFont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right"/>
      <protection/>
    </xf>
    <xf numFmtId="0" fontId="41" fillId="0" borderId="0" xfId="56" applyFont="1" applyBorder="1">
      <alignment/>
      <protection/>
    </xf>
    <xf numFmtId="0" fontId="3" fillId="0" borderId="0" xfId="43" applyBorder="1" applyAlignment="1">
      <alignment/>
    </xf>
    <xf numFmtId="14" fontId="76" fillId="0" borderId="0" xfId="56" applyNumberFormat="1" applyFont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21" fillId="0" borderId="11" xfId="56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25" fillId="0" borderId="11" xfId="56" applyFont="1" applyFill="1" applyBorder="1" applyAlignment="1">
      <alignment horizontal="left" vertical="center" wrapText="1"/>
      <protection/>
    </xf>
    <xf numFmtId="0" fontId="49" fillId="0" borderId="0" xfId="43" applyFont="1" applyAlignment="1">
      <alignment horizontal="center"/>
    </xf>
    <xf numFmtId="0" fontId="46" fillId="0" borderId="0" xfId="0" applyFont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0" xfId="56" applyFont="1" applyFill="1" applyBorder="1" applyAlignment="1">
      <alignment horizontal="left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horizontal="center" vertical="center" wrapText="1"/>
      <protection/>
    </xf>
    <xf numFmtId="0" fontId="3" fillId="0" borderId="0" xfId="43" applyAlignment="1">
      <alignment horizontal="center"/>
    </xf>
    <xf numFmtId="0" fontId="48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5" fillId="0" borderId="10" xfId="56" applyFont="1" applyBorder="1" applyAlignment="1">
      <alignment horizontal="center" vertical="center" wrapText="1"/>
      <protection/>
    </xf>
    <xf numFmtId="0" fontId="9" fillId="0" borderId="23" xfId="56" applyFont="1" applyFill="1" applyBorder="1" applyAlignment="1">
      <alignment horizontal="center" vertical="center" wrapText="1"/>
      <protection/>
    </xf>
    <xf numFmtId="0" fontId="9" fillId="0" borderId="52" xfId="56" applyFont="1" applyFill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left" vertical="center" wrapText="1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14" fontId="74" fillId="0" borderId="0" xfId="56" applyNumberFormat="1" applyFont="1" applyBorder="1" applyAlignment="1">
      <alignment horizontal="center" vertical="center" wrapText="1"/>
      <protection/>
    </xf>
    <xf numFmtId="0" fontId="9" fillId="34" borderId="11" xfId="56" applyFont="1" applyFill="1" applyBorder="1" applyAlignment="1">
      <alignment horizontal="center" vertical="center" wrapText="1"/>
      <protection/>
    </xf>
    <xf numFmtId="0" fontId="9" fillId="34" borderId="23" xfId="56" applyFont="1" applyFill="1" applyBorder="1" applyAlignment="1">
      <alignment horizontal="center" vertical="center" wrapText="1"/>
      <protection/>
    </xf>
    <xf numFmtId="0" fontId="9" fillId="34" borderId="70" xfId="56" applyFont="1" applyFill="1" applyBorder="1" applyAlignment="1">
      <alignment horizontal="center" vertical="center" wrapText="1"/>
      <protection/>
    </xf>
    <xf numFmtId="0" fontId="9" fillId="34" borderId="52" xfId="56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" fillId="36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0" fontId="3" fillId="0" borderId="0" xfId="43" applyFont="1" applyBorder="1" applyAlignment="1">
      <alignment horizontal="left"/>
    </xf>
    <xf numFmtId="0" fontId="3" fillId="0" borderId="0" xfId="43" applyBorder="1" applyAlignment="1">
      <alignment horizontal="left"/>
    </xf>
    <xf numFmtId="0" fontId="64" fillId="0" borderId="27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7" xfId="43" applyNumberFormat="1" applyFont="1" applyFill="1" applyBorder="1" applyAlignment="1" applyProtection="1">
      <alignment horizontal="center" vertical="center" wrapText="1"/>
      <protection/>
    </xf>
    <xf numFmtId="0" fontId="64" fillId="0" borderId="19" xfId="43" applyNumberFormat="1" applyFont="1" applyFill="1" applyBorder="1" applyAlignment="1" applyProtection="1">
      <alignment horizontal="center" vertical="center" wrapText="1"/>
      <protection/>
    </xf>
    <xf numFmtId="0" fontId="64" fillId="0" borderId="59" xfId="0" applyFont="1" applyBorder="1" applyAlignment="1">
      <alignment horizontal="center"/>
    </xf>
    <xf numFmtId="0" fontId="64" fillId="0" borderId="74" xfId="43" applyNumberFormat="1" applyFont="1" applyFill="1" applyBorder="1" applyAlignment="1" applyProtection="1">
      <alignment horizontal="center" vertical="center" wrapText="1"/>
      <protection/>
    </xf>
    <xf numFmtId="0" fontId="64" fillId="0" borderId="75" xfId="43" applyNumberFormat="1" applyFont="1" applyFill="1" applyBorder="1" applyAlignment="1" applyProtection="1">
      <alignment horizontal="center" vertical="center" wrapText="1"/>
      <protection/>
    </xf>
    <xf numFmtId="0" fontId="47" fillId="0" borderId="22" xfId="43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3" fillId="0" borderId="60" xfId="43" applyNumberFormat="1" applyFont="1" applyFill="1" applyBorder="1" applyAlignment="1" applyProtection="1">
      <alignment horizontal="center" vertical="center" wrapText="1"/>
      <protection/>
    </xf>
    <xf numFmtId="0" fontId="47" fillId="0" borderId="58" xfId="43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/>
    </xf>
    <xf numFmtId="0" fontId="64" fillId="0" borderId="74" xfId="0" applyFont="1" applyBorder="1" applyAlignment="1">
      <alignment horizontal="center"/>
    </xf>
    <xf numFmtId="0" fontId="64" fillId="0" borderId="75" xfId="0" applyFont="1" applyBorder="1" applyAlignment="1">
      <alignment horizontal="center"/>
    </xf>
    <xf numFmtId="0" fontId="64" fillId="0" borderId="59" xfId="43" applyNumberFormat="1" applyFont="1" applyFill="1" applyBorder="1" applyAlignment="1" applyProtection="1">
      <alignment horizontal="center" vertical="center" wrapText="1"/>
      <protection/>
    </xf>
    <xf numFmtId="0" fontId="64" fillId="0" borderId="0" xfId="43" applyNumberFormat="1" applyFont="1" applyFill="1" applyBorder="1" applyAlignment="1" applyProtection="1">
      <alignment horizontal="center" vertical="center" wrapText="1"/>
      <protection/>
    </xf>
    <xf numFmtId="0" fontId="64" fillId="0" borderId="76" xfId="43" applyNumberFormat="1" applyFont="1" applyFill="1" applyBorder="1" applyAlignment="1" applyProtection="1">
      <alignment horizontal="center" vertical="center" wrapText="1"/>
      <protection/>
    </xf>
    <xf numFmtId="0" fontId="64" fillId="0" borderId="26" xfId="43" applyNumberFormat="1" applyFont="1" applyFill="1" applyBorder="1" applyAlignment="1" applyProtection="1">
      <alignment horizontal="center" vertical="center" wrapText="1"/>
      <protection/>
    </xf>
    <xf numFmtId="0" fontId="64" fillId="0" borderId="63" xfId="43" applyNumberFormat="1" applyFont="1" applyFill="1" applyBorder="1" applyAlignment="1" applyProtection="1">
      <alignment horizontal="center" vertical="center" wrapText="1"/>
      <protection/>
    </xf>
    <xf numFmtId="0" fontId="64" fillId="0" borderId="77" xfId="43" applyNumberFormat="1" applyFont="1" applyFill="1" applyBorder="1" applyAlignment="1" applyProtection="1">
      <alignment horizontal="center" vertical="center" wrapText="1"/>
      <protection/>
    </xf>
    <xf numFmtId="0" fontId="64" fillId="0" borderId="78" xfId="43" applyNumberFormat="1" applyFont="1" applyFill="1" applyBorder="1" applyAlignment="1" applyProtection="1">
      <alignment horizontal="center" vertical="center" wrapText="1"/>
      <protection/>
    </xf>
    <xf numFmtId="0" fontId="64" fillId="0" borderId="28" xfId="43" applyNumberFormat="1" applyFont="1" applyFill="1" applyBorder="1" applyAlignment="1" applyProtection="1">
      <alignment horizontal="center" vertical="center" wrapText="1"/>
      <protection/>
    </xf>
    <xf numFmtId="0" fontId="64" fillId="0" borderId="71" xfId="43" applyNumberFormat="1" applyFont="1" applyFill="1" applyBorder="1" applyAlignment="1" applyProtection="1">
      <alignment horizontal="center" vertical="center" wrapText="1"/>
      <protection/>
    </xf>
    <xf numFmtId="0" fontId="64" fillId="0" borderId="21" xfId="43" applyNumberFormat="1" applyFont="1" applyFill="1" applyBorder="1" applyAlignment="1" applyProtection="1">
      <alignment horizontal="center" vertical="center" wrapText="1"/>
      <protection/>
    </xf>
    <xf numFmtId="0" fontId="64" fillId="0" borderId="79" xfId="43" applyNumberFormat="1" applyFont="1" applyFill="1" applyBorder="1" applyAlignment="1" applyProtection="1">
      <alignment horizontal="center" vertical="center" wrapText="1"/>
      <protection/>
    </xf>
    <xf numFmtId="0" fontId="3" fillId="0" borderId="54" xfId="43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47" fillId="0" borderId="10" xfId="4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/>
    </xf>
    <xf numFmtId="0" fontId="64" fillId="0" borderId="78" xfId="0" applyFont="1" applyBorder="1" applyAlignment="1">
      <alignment horizontal="center"/>
    </xf>
    <xf numFmtId="0" fontId="64" fillId="0" borderId="59" xfId="0" applyFont="1" applyBorder="1" applyAlignment="1" applyProtection="1">
      <alignment horizontal="center"/>
      <protection/>
    </xf>
    <xf numFmtId="0" fontId="64" fillId="0" borderId="78" xfId="0" applyFont="1" applyBorder="1" applyAlignment="1" applyProtection="1">
      <alignment horizontal="center"/>
      <protection/>
    </xf>
    <xf numFmtId="0" fontId="64" fillId="0" borderId="77" xfId="0" applyFont="1" applyBorder="1" applyAlignment="1" applyProtection="1">
      <alignment horizontal="center"/>
      <protection/>
    </xf>
    <xf numFmtId="0" fontId="64" fillId="0" borderId="80" xfId="43" applyNumberFormat="1" applyFont="1" applyFill="1" applyBorder="1" applyAlignment="1" applyProtection="1">
      <alignment horizontal="center" vertical="center" wrapText="1"/>
      <protection/>
    </xf>
    <xf numFmtId="0" fontId="64" fillId="0" borderId="81" xfId="43" applyNumberFormat="1" applyFont="1" applyFill="1" applyBorder="1" applyAlignment="1" applyProtection="1">
      <alignment horizontal="center" vertical="center" wrapText="1"/>
      <protection/>
    </xf>
    <xf numFmtId="0" fontId="72" fillId="0" borderId="0" xfId="43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3" fillId="0" borderId="0" xfId="43" applyNumberFormat="1" applyFont="1" applyFill="1" applyBorder="1" applyAlignment="1" applyProtection="1">
      <alignment horizontal="left" vertical="center" wrapText="1"/>
      <protection/>
    </xf>
    <xf numFmtId="0" fontId="64" fillId="0" borderId="82" xfId="43" applyNumberFormat="1" applyFont="1" applyFill="1" applyBorder="1" applyAlignment="1" applyProtection="1">
      <alignment horizontal="center" vertical="center" wrapText="1"/>
      <protection/>
    </xf>
    <xf numFmtId="0" fontId="43" fillId="0" borderId="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0" fillId="36" borderId="0" xfId="0" applyFill="1" applyAlignment="1">
      <alignment horizontal="center" vertical="center"/>
    </xf>
    <xf numFmtId="0" fontId="17" fillId="0" borderId="0" xfId="55" applyFont="1" applyBorder="1" applyAlignment="1">
      <alignment horizontal="left" vertical="center" wrapText="1"/>
      <protection/>
    </xf>
    <xf numFmtId="0" fontId="5" fillId="36" borderId="61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6" borderId="61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71" xfId="0" applyFont="1" applyFill="1" applyBorder="1" applyAlignment="1">
      <alignment horizontal="center" vertical="center"/>
    </xf>
    <xf numFmtId="2" fontId="113" fillId="0" borderId="27" xfId="0" applyNumberFormat="1" applyFont="1" applyBorder="1" applyAlignment="1">
      <alignment horizontal="center" vertical="center"/>
    </xf>
    <xf numFmtId="2" fontId="113" fillId="0" borderId="19" xfId="0" applyNumberFormat="1" applyFont="1" applyBorder="1" applyAlignment="1">
      <alignment horizontal="center" vertical="center"/>
    </xf>
    <xf numFmtId="2" fontId="113" fillId="0" borderId="28" xfId="0" applyNumberFormat="1" applyFont="1" applyBorder="1" applyAlignment="1">
      <alignment horizontal="center" vertical="center"/>
    </xf>
    <xf numFmtId="2" fontId="113" fillId="0" borderId="7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2" fontId="113" fillId="0" borderId="26" xfId="0" applyNumberFormat="1" applyFont="1" applyBorder="1" applyAlignment="1">
      <alignment horizontal="center" vertical="center"/>
    </xf>
    <xf numFmtId="2" fontId="113" fillId="0" borderId="63" xfId="0" applyNumberFormat="1" applyFont="1" applyBorder="1" applyAlignment="1">
      <alignment horizontal="center" vertical="center"/>
    </xf>
    <xf numFmtId="2" fontId="113" fillId="0" borderId="55" xfId="0" applyNumberFormat="1" applyFont="1" applyBorder="1" applyAlignment="1">
      <alignment horizontal="center"/>
    </xf>
    <xf numFmtId="2" fontId="113" fillId="0" borderId="56" xfId="0" applyNumberFormat="1" applyFont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5" fillId="43" borderId="27" xfId="0" applyFont="1" applyFill="1" applyBorder="1" applyAlignment="1">
      <alignment horizontal="center"/>
    </xf>
    <xf numFmtId="0" fontId="5" fillId="43" borderId="28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" fillId="0" borderId="83" xfId="0" applyFont="1" applyBorder="1" applyAlignment="1">
      <alignment horizontal="center" vertical="center" textRotation="90" wrapText="1"/>
    </xf>
    <xf numFmtId="0" fontId="2" fillId="0" borderId="84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3" fillId="0" borderId="0" xfId="43" applyBorder="1" applyAlignment="1">
      <alignment vertical="center" wrapText="1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14" fontId="59" fillId="0" borderId="30" xfId="0" applyNumberFormat="1" applyFont="1" applyBorder="1" applyAlignment="1">
      <alignment horizontal="center" vertical="center" wrapText="1"/>
    </xf>
    <xf numFmtId="4" fontId="60" fillId="0" borderId="88" xfId="0" applyNumberFormat="1" applyFont="1" applyBorder="1" applyAlignment="1">
      <alignment horizontal="center" vertical="center" wrapText="1"/>
    </xf>
    <xf numFmtId="4" fontId="60" fillId="0" borderId="89" xfId="0" applyNumberFormat="1" applyFont="1" applyBorder="1" applyAlignment="1">
      <alignment horizontal="center" vertical="center" wrapText="1"/>
    </xf>
    <xf numFmtId="14" fontId="19" fillId="0" borderId="5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 wrapText="1"/>
    </xf>
    <xf numFmtId="0" fontId="29" fillId="0" borderId="90" xfId="0" applyFont="1" applyBorder="1" applyAlignment="1">
      <alignment horizontal="center" vertical="center" textRotation="90"/>
    </xf>
    <xf numFmtId="0" fontId="29" fillId="0" borderId="91" xfId="0" applyFont="1" applyBorder="1" applyAlignment="1">
      <alignment horizontal="center" vertical="center" textRotation="90"/>
    </xf>
    <xf numFmtId="0" fontId="29" fillId="0" borderId="92" xfId="0" applyFont="1" applyBorder="1" applyAlignment="1">
      <alignment horizontal="center" vertical="center" textRotation="90"/>
    </xf>
    <xf numFmtId="0" fontId="2" fillId="0" borderId="93" xfId="0" applyFont="1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center" vertical="center" textRotation="90" wrapText="1"/>
    </xf>
    <xf numFmtId="0" fontId="2" fillId="0" borderId="95" xfId="0" applyFont="1" applyBorder="1" applyAlignment="1">
      <alignment horizontal="center" vertical="center" textRotation="90" wrapText="1"/>
    </xf>
    <xf numFmtId="0" fontId="29" fillId="0" borderId="96" xfId="0" applyFont="1" applyBorder="1" applyAlignment="1">
      <alignment horizontal="center" textRotation="90"/>
    </xf>
    <xf numFmtId="0" fontId="29" fillId="0" borderId="91" xfId="0" applyFont="1" applyBorder="1" applyAlignment="1">
      <alignment horizontal="center" textRotation="90"/>
    </xf>
    <xf numFmtId="0" fontId="29" fillId="0" borderId="15" xfId="0" applyFont="1" applyBorder="1" applyAlignment="1">
      <alignment horizontal="center" textRotation="90"/>
    </xf>
    <xf numFmtId="0" fontId="29" fillId="0" borderId="90" xfId="0" applyFont="1" applyBorder="1" applyAlignment="1">
      <alignment horizontal="center" textRotation="90"/>
    </xf>
    <xf numFmtId="0" fontId="29" fillId="0" borderId="92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4" fontId="60" fillId="0" borderId="96" xfId="0" applyNumberFormat="1" applyFont="1" applyBorder="1" applyAlignment="1">
      <alignment horizontal="center" vertical="center" wrapText="1"/>
    </xf>
    <xf numFmtId="4" fontId="60" fillId="0" borderId="97" xfId="0" applyNumberFormat="1" applyFont="1" applyBorder="1" applyAlignment="1">
      <alignment horizontal="center" vertical="center" wrapText="1"/>
    </xf>
    <xf numFmtId="4" fontId="60" fillId="0" borderId="46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 wrapText="1"/>
    </xf>
    <xf numFmtId="193" fontId="0" fillId="0" borderId="0" xfId="0" applyNumberForma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/>
    </xf>
    <xf numFmtId="0" fontId="41" fillId="34" borderId="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 vertical="center" wrapText="1"/>
    </xf>
    <xf numFmtId="0" fontId="35" fillId="0" borderId="0" xfId="57" applyFont="1" applyAlignment="1">
      <alignment horizontal="center"/>
      <protection/>
    </xf>
    <xf numFmtId="0" fontId="24" fillId="0" borderId="0" xfId="57" applyFont="1" applyFill="1" applyAlignment="1">
      <alignment horizontal="left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7" fillId="0" borderId="11" xfId="57" applyFont="1" applyFill="1" applyBorder="1" applyAlignment="1">
      <alignment horizontal="center" vertical="center" wrapText="1"/>
      <protection/>
    </xf>
    <xf numFmtId="0" fontId="29" fillId="0" borderId="54" xfId="57" applyFont="1" applyFill="1" applyBorder="1" applyAlignment="1">
      <alignment horizontal="center" vertical="center" wrapText="1"/>
      <protection/>
    </xf>
    <xf numFmtId="0" fontId="29" fillId="0" borderId="98" xfId="57" applyFont="1" applyFill="1" applyBorder="1" applyAlignment="1">
      <alignment horizontal="center" vertical="center" wrapText="1"/>
      <protection/>
    </xf>
    <xf numFmtId="0" fontId="17" fillId="35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72" xfId="0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44" borderId="60" xfId="0" applyFont="1" applyFill="1" applyBorder="1" applyAlignment="1">
      <alignment horizontal="center" vertical="center" wrapText="1"/>
    </xf>
    <xf numFmtId="0" fontId="70" fillId="44" borderId="11" xfId="0" applyFont="1" applyFill="1" applyBorder="1" applyAlignment="1">
      <alignment horizontal="center"/>
    </xf>
    <xf numFmtId="0" fontId="35" fillId="0" borderId="0" xfId="57" applyFont="1" applyAlignment="1">
      <alignment horizontal="center" wrapText="1"/>
      <protection/>
    </xf>
    <xf numFmtId="0" fontId="29" fillId="0" borderId="27" xfId="57" applyFont="1" applyFill="1" applyBorder="1" applyAlignment="1">
      <alignment horizontal="center" vertical="center" wrapText="1"/>
      <protection/>
    </xf>
    <xf numFmtId="0" fontId="29" fillId="0" borderId="0" xfId="57" applyFont="1" applyFill="1" applyBorder="1" applyAlignment="1">
      <alignment horizontal="center" vertical="center" wrapText="1"/>
      <protection/>
    </xf>
    <xf numFmtId="0" fontId="46" fillId="0" borderId="21" xfId="57" applyFont="1" applyBorder="1" applyAlignment="1">
      <alignment horizontal="center" wrapText="1"/>
      <protection/>
    </xf>
    <xf numFmtId="0" fontId="46" fillId="0" borderId="0" xfId="57" applyFont="1" applyBorder="1" applyAlignment="1">
      <alignment horizontal="center" wrapText="1"/>
      <protection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97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82" fillId="0" borderId="0" xfId="0" applyFont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102" xfId="0" applyFont="1" applyBorder="1" applyAlignment="1">
      <alignment horizontal="center" textRotation="90" wrapText="1"/>
    </xf>
    <xf numFmtId="0" fontId="2" fillId="0" borderId="103" xfId="0" applyFont="1" applyBorder="1" applyAlignment="1">
      <alignment horizontal="center" textRotation="90" wrapText="1"/>
    </xf>
    <xf numFmtId="0" fontId="2" fillId="0" borderId="104" xfId="0" applyFont="1" applyBorder="1" applyAlignment="1">
      <alignment horizontal="center" textRotation="90" wrapText="1"/>
    </xf>
    <xf numFmtId="0" fontId="2" fillId="0" borderId="105" xfId="0" applyFont="1" applyBorder="1" applyAlignment="1">
      <alignment horizontal="center" textRotation="90" wrapText="1"/>
    </xf>
    <xf numFmtId="0" fontId="2" fillId="0" borderId="106" xfId="0" applyFont="1" applyBorder="1" applyAlignment="1">
      <alignment horizontal="center" textRotation="90" wrapText="1"/>
    </xf>
    <xf numFmtId="0" fontId="2" fillId="0" borderId="107" xfId="0" applyFont="1" applyBorder="1" applyAlignment="1">
      <alignment horizontal="center" textRotation="90" wrapText="1"/>
    </xf>
    <xf numFmtId="0" fontId="0" fillId="0" borderId="52" xfId="0" applyFont="1" applyBorder="1" applyAlignment="1">
      <alignment horizontal="center" wrapText="1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96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27" xfId="0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 shrinkToFit="1"/>
    </xf>
    <xf numFmtId="0" fontId="5" fillId="38" borderId="10" xfId="0" applyFont="1" applyFill="1" applyBorder="1" applyAlignment="1">
      <alignment horizontal="center" vertical="center" wrapText="1" shrinkToFit="1"/>
    </xf>
    <xf numFmtId="0" fontId="5" fillId="38" borderId="22" xfId="0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 shrinkToFit="1"/>
    </xf>
    <xf numFmtId="0" fontId="17" fillId="0" borderId="56" xfId="0" applyFont="1" applyBorder="1" applyAlignment="1">
      <alignment horizontal="center" vertical="center" wrapText="1" shrinkToFit="1"/>
    </xf>
    <xf numFmtId="0" fontId="0" fillId="0" borderId="23" xfId="33" applyFont="1" applyFill="1" applyBorder="1" applyAlignment="1">
      <alignment horizontal="center" vertical="center" wrapText="1"/>
      <protection/>
    </xf>
    <xf numFmtId="0" fontId="0" fillId="0" borderId="52" xfId="33" applyFont="1" applyFill="1" applyBorder="1" applyAlignment="1">
      <alignment horizontal="center" vertical="center" wrapText="1"/>
      <protection/>
    </xf>
    <xf numFmtId="0" fontId="69" fillId="33" borderId="11" xfId="33" applyFont="1" applyFill="1" applyBorder="1" applyAlignment="1">
      <alignment horizontal="center" vertical="center"/>
      <protection/>
    </xf>
    <xf numFmtId="0" fontId="69" fillId="33" borderId="11" xfId="33" applyFont="1" applyFill="1" applyBorder="1" applyAlignment="1">
      <alignment horizontal="center" vertical="center"/>
      <protection/>
    </xf>
    <xf numFmtId="0" fontId="0" fillId="33" borderId="11" xfId="33" applyFont="1" applyFill="1" applyBorder="1" applyAlignment="1">
      <alignment horizontal="left" vertical="center" wrapText="1"/>
      <protection/>
    </xf>
    <xf numFmtId="0" fontId="3" fillId="0" borderId="11" xfId="43" applyBorder="1" applyAlignment="1">
      <alignment horizontal="center" vertical="center"/>
    </xf>
    <xf numFmtId="0" fontId="0" fillId="33" borderId="23" xfId="33" applyFont="1" applyFill="1" applyBorder="1" applyAlignment="1">
      <alignment horizontal="center" vertical="center" wrapText="1"/>
      <protection/>
    </xf>
    <xf numFmtId="0" fontId="0" fillId="33" borderId="52" xfId="33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18_07_14_Plastics_Dekton_UAH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_07_14_Plastics_Dekton_UAH" xfId="55"/>
    <cellStyle name="Обычный_Лист1" xfId="56"/>
    <cellStyle name="Обычный_пластик HPL _2014 ценообразование" xfId="57"/>
    <cellStyle name="Обычный_плитка Silestone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hyperlink" Target="http://www.plastics.ua/dom" TargetMode="External" /><Relationship Id="rId11" Type="http://schemas.openxmlformats.org/officeDocument/2006/relationships/hyperlink" Target="#&#1050;&#1086;&#1085;&#1090;&#1072;&#1082;&#1090;&#1099;!A1" /><Relationship Id="rId12" Type="http://schemas.openxmlformats.org/officeDocument/2006/relationships/image" Target="../media/image10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hyperlink" Target="http://www.plastics.ua/dom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4.png" /><Relationship Id="rId5" Type="http://schemas.openxmlformats.org/officeDocument/2006/relationships/image" Target="../media/image13.png" /><Relationship Id="rId6" Type="http://schemas.openxmlformats.org/officeDocument/2006/relationships/image" Target="../media/image25.jpe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Relationship Id="rId3" Type="http://schemas.openxmlformats.org/officeDocument/2006/relationships/image" Target="../media/image30.png" /><Relationship Id="rId4" Type="http://schemas.openxmlformats.org/officeDocument/2006/relationships/image" Target="../media/image31.png" /><Relationship Id="rId5" Type="http://schemas.openxmlformats.org/officeDocument/2006/relationships/image" Target="../media/image32.png" /><Relationship Id="rId6" Type="http://schemas.openxmlformats.org/officeDocument/2006/relationships/image" Target="../media/image33.png" /><Relationship Id="rId7" Type="http://schemas.openxmlformats.org/officeDocument/2006/relationships/image" Target="../media/image34.png" /><Relationship Id="rId8" Type="http://schemas.openxmlformats.org/officeDocument/2006/relationships/image" Target="../media/image3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Relationship Id="rId3" Type="http://schemas.openxmlformats.org/officeDocument/2006/relationships/image" Target="../media/image30.png" /><Relationship Id="rId4" Type="http://schemas.openxmlformats.org/officeDocument/2006/relationships/image" Target="../media/image31.png" /><Relationship Id="rId5" Type="http://schemas.openxmlformats.org/officeDocument/2006/relationships/image" Target="../media/image32.png" /><Relationship Id="rId6" Type="http://schemas.openxmlformats.org/officeDocument/2006/relationships/image" Target="../media/image34.png" /><Relationship Id="rId7" Type="http://schemas.openxmlformats.org/officeDocument/2006/relationships/image" Target="../media/image3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5</xdr:row>
      <xdr:rowOff>47625</xdr:rowOff>
    </xdr:from>
    <xdr:to>
      <xdr:col>1</xdr:col>
      <xdr:colOff>2457450</xdr:colOff>
      <xdr:row>5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266950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3</xdr:row>
      <xdr:rowOff>47625</xdr:rowOff>
    </xdr:from>
    <xdr:to>
      <xdr:col>1</xdr:col>
      <xdr:colOff>2562225</xdr:colOff>
      <xdr:row>4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257300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6</xdr:row>
      <xdr:rowOff>66675</xdr:rowOff>
    </xdr:from>
    <xdr:to>
      <xdr:col>1</xdr:col>
      <xdr:colOff>2333625</xdr:colOff>
      <xdr:row>6</xdr:row>
      <xdr:rowOff>762000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31908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7</xdr:row>
      <xdr:rowOff>57150</xdr:rowOff>
    </xdr:from>
    <xdr:to>
      <xdr:col>1</xdr:col>
      <xdr:colOff>2686050</xdr:colOff>
      <xdr:row>9</xdr:row>
      <xdr:rowOff>466725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067175"/>
          <a:ext cx="1771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11</xdr:row>
      <xdr:rowOff>28575</xdr:rowOff>
    </xdr:from>
    <xdr:to>
      <xdr:col>1</xdr:col>
      <xdr:colOff>2438400</xdr:colOff>
      <xdr:row>11</xdr:row>
      <xdr:rowOff>933450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592455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12</xdr:row>
      <xdr:rowOff>38100</xdr:rowOff>
    </xdr:from>
    <xdr:to>
      <xdr:col>1</xdr:col>
      <xdr:colOff>2533650</xdr:colOff>
      <xdr:row>12</xdr:row>
      <xdr:rowOff>904875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686752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13</xdr:row>
      <xdr:rowOff>85725</xdr:rowOff>
    </xdr:from>
    <xdr:to>
      <xdr:col>1</xdr:col>
      <xdr:colOff>2638425</xdr:colOff>
      <xdr:row>14</xdr:row>
      <xdr:rowOff>419100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7839075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15</xdr:row>
      <xdr:rowOff>104775</xdr:rowOff>
    </xdr:from>
    <xdr:to>
      <xdr:col>1</xdr:col>
      <xdr:colOff>2895600</xdr:colOff>
      <xdr:row>16</xdr:row>
      <xdr:rowOff>476250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0025" y="8943975"/>
          <a:ext cx="1895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17</xdr:row>
      <xdr:rowOff>0</xdr:rowOff>
    </xdr:from>
    <xdr:to>
      <xdr:col>1</xdr:col>
      <xdr:colOff>2447925</xdr:colOff>
      <xdr:row>17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988695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0</xdr:row>
      <xdr:rowOff>38100</xdr:rowOff>
    </xdr:from>
    <xdr:to>
      <xdr:col>1</xdr:col>
      <xdr:colOff>3438525</xdr:colOff>
      <xdr:row>0</xdr:row>
      <xdr:rowOff>200025</xdr:rowOff>
    </xdr:to>
    <xdr:sp>
      <xdr:nvSpPr>
        <xdr:cNvPr id="10" name="Rectangle 13"/>
        <xdr:cNvSpPr>
          <a:spLocks/>
        </xdr:cNvSpPr>
      </xdr:nvSpPr>
      <xdr:spPr>
        <a:xfrm>
          <a:off x="3848100" y="38100"/>
          <a:ext cx="2600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2066925</xdr:colOff>
      <xdr:row>0</xdr:row>
      <xdr:rowOff>409575</xdr:rowOff>
    </xdr:from>
    <xdr:to>
      <xdr:col>1</xdr:col>
      <xdr:colOff>3457575</xdr:colOff>
      <xdr:row>0</xdr:row>
      <xdr:rowOff>638175</xdr:rowOff>
    </xdr:to>
    <xdr:sp>
      <xdr:nvSpPr>
        <xdr:cNvPr id="11" name="Rectangle 14">
          <a:hlinkClick r:id="rId10"/>
        </xdr:cNvPr>
        <xdr:cNvSpPr>
          <a:spLocks/>
        </xdr:cNvSpPr>
      </xdr:nvSpPr>
      <xdr:spPr>
        <a:xfrm>
          <a:off x="5076825" y="409575"/>
          <a:ext cx="1390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847725</xdr:colOff>
      <xdr:row>0</xdr:row>
      <xdr:rowOff>228600</xdr:rowOff>
    </xdr:from>
    <xdr:to>
      <xdr:col>1</xdr:col>
      <xdr:colOff>3448050</xdr:colOff>
      <xdr:row>0</xdr:row>
      <xdr:rowOff>409575</xdr:rowOff>
    </xdr:to>
    <xdr:sp>
      <xdr:nvSpPr>
        <xdr:cNvPr id="12" name="Rectangle 55">
          <a:hlinkClick r:id="rId11"/>
        </xdr:cNvPr>
        <xdr:cNvSpPr>
          <a:spLocks/>
        </xdr:cNvSpPr>
      </xdr:nvSpPr>
      <xdr:spPr>
        <a:xfrm>
          <a:off x="3857625" y="228600"/>
          <a:ext cx="2600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571500</xdr:rowOff>
    </xdr:to>
    <xdr:pic>
      <xdr:nvPicPr>
        <xdr:cNvPr id="13" name="Picture 185" descr="Plastics-DOM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562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142875</xdr:rowOff>
    </xdr:from>
    <xdr:to>
      <xdr:col>4</xdr:col>
      <xdr:colOff>1123950</xdr:colOff>
      <xdr:row>0</xdr:row>
      <xdr:rowOff>400050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4287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390525</xdr:rowOff>
    </xdr:from>
    <xdr:to>
      <xdr:col>4</xdr:col>
      <xdr:colOff>1076325</xdr:colOff>
      <xdr:row>2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9052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247650</xdr:rowOff>
    </xdr:from>
    <xdr:to>
      <xdr:col>9</xdr:col>
      <xdr:colOff>0</xdr:colOff>
      <xdr:row>3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76250"/>
          <a:ext cx="156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61055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</xdr:row>
      <xdr:rowOff>114300</xdr:rowOff>
    </xdr:from>
    <xdr:to>
      <xdr:col>3</xdr:col>
      <xdr:colOff>695325</xdr:colOff>
      <xdr:row>2</xdr:row>
      <xdr:rowOff>285750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381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1266825</xdr:colOff>
      <xdr:row>1</xdr:row>
      <xdr:rowOff>28575</xdr:rowOff>
    </xdr:from>
    <xdr:to>
      <xdr:col>5</xdr:col>
      <xdr:colOff>476250</xdr:colOff>
      <xdr:row>2</xdr:row>
      <xdr:rowOff>257175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90500"/>
          <a:ext cx="1504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9525</xdr:colOff>
      <xdr:row>33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47625</xdr:rowOff>
    </xdr:from>
    <xdr:to>
      <xdr:col>6</xdr:col>
      <xdr:colOff>838200</xdr:colOff>
      <xdr:row>5</xdr:row>
      <xdr:rowOff>28575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4695825" y="800100"/>
          <a:ext cx="1714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2</xdr:row>
      <xdr:rowOff>57150</xdr:rowOff>
    </xdr:from>
    <xdr:to>
      <xdr:col>6</xdr:col>
      <xdr:colOff>876300</xdr:colOff>
      <xdr:row>6</xdr:row>
      <xdr:rowOff>19050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19100"/>
          <a:ext cx="2228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38100</xdr:rowOff>
    </xdr:from>
    <xdr:to>
      <xdr:col>10</xdr:col>
      <xdr:colOff>66675</xdr:colOff>
      <xdr:row>5</xdr:row>
      <xdr:rowOff>57150</xdr:rowOff>
    </xdr:to>
    <xdr:pic>
      <xdr:nvPicPr>
        <xdr:cNvPr id="1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22288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86</xdr:row>
      <xdr:rowOff>38100</xdr:rowOff>
    </xdr:from>
    <xdr:to>
      <xdr:col>0</xdr:col>
      <xdr:colOff>419100</xdr:colOff>
      <xdr:row>86</xdr:row>
      <xdr:rowOff>123825</xdr:rowOff>
    </xdr:to>
    <xdr:pic>
      <xdr:nvPicPr>
        <xdr:cNvPr id="2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7445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</xdr:row>
      <xdr:rowOff>9525</xdr:rowOff>
    </xdr:from>
    <xdr:to>
      <xdr:col>4</xdr:col>
      <xdr:colOff>400050</xdr:colOff>
      <xdr:row>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1085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</xdr:row>
      <xdr:rowOff>19050</xdr:rowOff>
    </xdr:from>
    <xdr:to>
      <xdr:col>5</xdr:col>
      <xdr:colOff>419100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10953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9</xdr:row>
      <xdr:rowOff>0</xdr:rowOff>
    </xdr:from>
    <xdr:to>
      <xdr:col>6</xdr:col>
      <xdr:colOff>428625</xdr:colOff>
      <xdr:row>10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1238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9</xdr:row>
      <xdr:rowOff>9525</xdr:rowOff>
    </xdr:from>
    <xdr:to>
      <xdr:col>4</xdr:col>
      <xdr:colOff>400050</xdr:colOff>
      <xdr:row>9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477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10</xdr:row>
      <xdr:rowOff>9525</xdr:rowOff>
    </xdr:from>
    <xdr:to>
      <xdr:col>4</xdr:col>
      <xdr:colOff>400050</xdr:colOff>
      <xdr:row>10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409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11</xdr:row>
      <xdr:rowOff>9525</xdr:rowOff>
    </xdr:from>
    <xdr:to>
      <xdr:col>4</xdr:col>
      <xdr:colOff>400050</xdr:colOff>
      <xdr:row>11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5716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12</xdr:row>
      <xdr:rowOff>9525</xdr:rowOff>
    </xdr:from>
    <xdr:to>
      <xdr:col>4</xdr:col>
      <xdr:colOff>400050</xdr:colOff>
      <xdr:row>12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7335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9</xdr:row>
      <xdr:rowOff>19050</xdr:rowOff>
    </xdr:from>
    <xdr:to>
      <xdr:col>5</xdr:col>
      <xdr:colOff>419100</xdr:colOff>
      <xdr:row>9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573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10</xdr:row>
      <xdr:rowOff>19050</xdr:rowOff>
    </xdr:from>
    <xdr:to>
      <xdr:col>5</xdr:col>
      <xdr:colOff>419100</xdr:colOff>
      <xdr:row>10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4192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11</xdr:row>
      <xdr:rowOff>19050</xdr:rowOff>
    </xdr:from>
    <xdr:to>
      <xdr:col>5</xdr:col>
      <xdr:colOff>419100</xdr:colOff>
      <xdr:row>11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5811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12</xdr:row>
      <xdr:rowOff>19050</xdr:rowOff>
    </xdr:from>
    <xdr:to>
      <xdr:col>5</xdr:col>
      <xdr:colOff>419100</xdr:colOff>
      <xdr:row>12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7430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10</xdr:row>
      <xdr:rowOff>38100</xdr:rowOff>
    </xdr:from>
    <xdr:to>
      <xdr:col>5</xdr:col>
      <xdr:colOff>638175</xdr:colOff>
      <xdr:row>10</xdr:row>
      <xdr:rowOff>123825</xdr:rowOff>
    </xdr:to>
    <xdr:pic>
      <xdr:nvPicPr>
        <xdr:cNvPr id="14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382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9525</xdr:rowOff>
    </xdr:from>
    <xdr:to>
      <xdr:col>4</xdr:col>
      <xdr:colOff>400050</xdr:colOff>
      <xdr:row>13</xdr:row>
      <xdr:rowOff>152400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8954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13</xdr:row>
      <xdr:rowOff>19050</xdr:rowOff>
    </xdr:from>
    <xdr:to>
      <xdr:col>5</xdr:col>
      <xdr:colOff>419100</xdr:colOff>
      <xdr:row>13</xdr:row>
      <xdr:rowOff>152400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9050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13</xdr:row>
      <xdr:rowOff>0</xdr:rowOff>
    </xdr:from>
    <xdr:to>
      <xdr:col>6</xdr:col>
      <xdr:colOff>428625</xdr:colOff>
      <xdr:row>14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885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14</xdr:row>
      <xdr:rowOff>9525</xdr:rowOff>
    </xdr:from>
    <xdr:to>
      <xdr:col>4</xdr:col>
      <xdr:colOff>400050</xdr:colOff>
      <xdr:row>14</xdr:row>
      <xdr:rowOff>152400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057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14</xdr:row>
      <xdr:rowOff>19050</xdr:rowOff>
    </xdr:from>
    <xdr:to>
      <xdr:col>5</xdr:col>
      <xdr:colOff>419100</xdr:colOff>
      <xdr:row>14</xdr:row>
      <xdr:rowOff>152400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0669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15</xdr:row>
      <xdr:rowOff>9525</xdr:rowOff>
    </xdr:from>
    <xdr:to>
      <xdr:col>4</xdr:col>
      <xdr:colOff>400050</xdr:colOff>
      <xdr:row>15</xdr:row>
      <xdr:rowOff>152400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219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15</xdr:row>
      <xdr:rowOff>19050</xdr:rowOff>
    </xdr:from>
    <xdr:to>
      <xdr:col>5</xdr:col>
      <xdr:colOff>419100</xdr:colOff>
      <xdr:row>15</xdr:row>
      <xdr:rowOff>152400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228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9525</xdr:rowOff>
    </xdr:from>
    <xdr:to>
      <xdr:col>4</xdr:col>
      <xdr:colOff>400050</xdr:colOff>
      <xdr:row>17</xdr:row>
      <xdr:rowOff>152400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5431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17</xdr:row>
      <xdr:rowOff>19050</xdr:rowOff>
    </xdr:from>
    <xdr:to>
      <xdr:col>5</xdr:col>
      <xdr:colOff>419100</xdr:colOff>
      <xdr:row>17</xdr:row>
      <xdr:rowOff>152400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5527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17</xdr:row>
      <xdr:rowOff>0</xdr:rowOff>
    </xdr:from>
    <xdr:to>
      <xdr:col>6</xdr:col>
      <xdr:colOff>428625</xdr:colOff>
      <xdr:row>18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25336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18</xdr:row>
      <xdr:rowOff>9525</xdr:rowOff>
    </xdr:from>
    <xdr:to>
      <xdr:col>4</xdr:col>
      <xdr:colOff>400050</xdr:colOff>
      <xdr:row>18</xdr:row>
      <xdr:rowOff>152400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7051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18</xdr:row>
      <xdr:rowOff>19050</xdr:rowOff>
    </xdr:from>
    <xdr:to>
      <xdr:col>5</xdr:col>
      <xdr:colOff>419100</xdr:colOff>
      <xdr:row>18</xdr:row>
      <xdr:rowOff>152400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7146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19</xdr:row>
      <xdr:rowOff>9525</xdr:rowOff>
    </xdr:from>
    <xdr:to>
      <xdr:col>4</xdr:col>
      <xdr:colOff>400050</xdr:colOff>
      <xdr:row>19</xdr:row>
      <xdr:rowOff>152400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8670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19</xdr:row>
      <xdr:rowOff>19050</xdr:rowOff>
    </xdr:from>
    <xdr:to>
      <xdr:col>5</xdr:col>
      <xdr:colOff>419100</xdr:colOff>
      <xdr:row>19</xdr:row>
      <xdr:rowOff>152400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8765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20</xdr:row>
      <xdr:rowOff>9525</xdr:rowOff>
    </xdr:from>
    <xdr:to>
      <xdr:col>4</xdr:col>
      <xdr:colOff>400050</xdr:colOff>
      <xdr:row>20</xdr:row>
      <xdr:rowOff>152400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0289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21</xdr:row>
      <xdr:rowOff>9525</xdr:rowOff>
    </xdr:from>
    <xdr:to>
      <xdr:col>4</xdr:col>
      <xdr:colOff>400050</xdr:colOff>
      <xdr:row>21</xdr:row>
      <xdr:rowOff>152400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190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19050</xdr:rowOff>
    </xdr:from>
    <xdr:to>
      <xdr:col>5</xdr:col>
      <xdr:colOff>419100</xdr:colOff>
      <xdr:row>21</xdr:row>
      <xdr:rowOff>152400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2004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21</xdr:row>
      <xdr:rowOff>38100</xdr:rowOff>
    </xdr:from>
    <xdr:to>
      <xdr:col>4</xdr:col>
      <xdr:colOff>638175</xdr:colOff>
      <xdr:row>21</xdr:row>
      <xdr:rowOff>123825</xdr:rowOff>
    </xdr:to>
    <xdr:pic>
      <xdr:nvPicPr>
        <xdr:cNvPr id="32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2194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21</xdr:row>
      <xdr:rowOff>38100</xdr:rowOff>
    </xdr:from>
    <xdr:to>
      <xdr:col>5</xdr:col>
      <xdr:colOff>638175</xdr:colOff>
      <xdr:row>21</xdr:row>
      <xdr:rowOff>123825</xdr:rowOff>
    </xdr:to>
    <xdr:pic>
      <xdr:nvPicPr>
        <xdr:cNvPr id="33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2194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22</xdr:row>
      <xdr:rowOff>9525</xdr:rowOff>
    </xdr:from>
    <xdr:to>
      <xdr:col>4</xdr:col>
      <xdr:colOff>400050</xdr:colOff>
      <xdr:row>22</xdr:row>
      <xdr:rowOff>152400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352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22</xdr:row>
      <xdr:rowOff>19050</xdr:rowOff>
    </xdr:from>
    <xdr:to>
      <xdr:col>5</xdr:col>
      <xdr:colOff>419100</xdr:colOff>
      <xdr:row>22</xdr:row>
      <xdr:rowOff>152400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3623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24</xdr:row>
      <xdr:rowOff>0</xdr:rowOff>
    </xdr:from>
    <xdr:to>
      <xdr:col>4</xdr:col>
      <xdr:colOff>400050</xdr:colOff>
      <xdr:row>24</xdr:row>
      <xdr:rowOff>142875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667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24</xdr:row>
      <xdr:rowOff>0</xdr:rowOff>
    </xdr:from>
    <xdr:to>
      <xdr:col>5</xdr:col>
      <xdr:colOff>419100</xdr:colOff>
      <xdr:row>24</xdr:row>
      <xdr:rowOff>133350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6671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24</xdr:row>
      <xdr:rowOff>9525</xdr:rowOff>
    </xdr:from>
    <xdr:to>
      <xdr:col>4</xdr:col>
      <xdr:colOff>400050</xdr:colOff>
      <xdr:row>24</xdr:row>
      <xdr:rowOff>152400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6766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24</xdr:row>
      <xdr:rowOff>19050</xdr:rowOff>
    </xdr:from>
    <xdr:to>
      <xdr:col>5</xdr:col>
      <xdr:colOff>419100</xdr:colOff>
      <xdr:row>24</xdr:row>
      <xdr:rowOff>152400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6861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9525</xdr:rowOff>
    </xdr:from>
    <xdr:to>
      <xdr:col>4</xdr:col>
      <xdr:colOff>400050</xdr:colOff>
      <xdr:row>25</xdr:row>
      <xdr:rowOff>152400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8385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25</xdr:row>
      <xdr:rowOff>19050</xdr:rowOff>
    </xdr:from>
    <xdr:to>
      <xdr:col>5</xdr:col>
      <xdr:colOff>419100</xdr:colOff>
      <xdr:row>25</xdr:row>
      <xdr:rowOff>152400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8481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26</xdr:row>
      <xdr:rowOff>9525</xdr:rowOff>
    </xdr:from>
    <xdr:to>
      <xdr:col>4</xdr:col>
      <xdr:colOff>400050</xdr:colOff>
      <xdr:row>26</xdr:row>
      <xdr:rowOff>152400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0005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26</xdr:row>
      <xdr:rowOff>19050</xdr:rowOff>
    </xdr:from>
    <xdr:to>
      <xdr:col>5</xdr:col>
      <xdr:colOff>419100</xdr:colOff>
      <xdr:row>26</xdr:row>
      <xdr:rowOff>152400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0100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27</xdr:row>
      <xdr:rowOff>9525</xdr:rowOff>
    </xdr:from>
    <xdr:to>
      <xdr:col>4</xdr:col>
      <xdr:colOff>400050</xdr:colOff>
      <xdr:row>27</xdr:row>
      <xdr:rowOff>152400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1624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27</xdr:row>
      <xdr:rowOff>19050</xdr:rowOff>
    </xdr:from>
    <xdr:to>
      <xdr:col>5</xdr:col>
      <xdr:colOff>419100</xdr:colOff>
      <xdr:row>27</xdr:row>
      <xdr:rowOff>152400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1719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27</xdr:row>
      <xdr:rowOff>0</xdr:rowOff>
    </xdr:from>
    <xdr:to>
      <xdr:col>6</xdr:col>
      <xdr:colOff>428625</xdr:colOff>
      <xdr:row>28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4152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28</xdr:row>
      <xdr:rowOff>0</xdr:rowOff>
    </xdr:from>
    <xdr:to>
      <xdr:col>4</xdr:col>
      <xdr:colOff>400050</xdr:colOff>
      <xdr:row>28</xdr:row>
      <xdr:rowOff>142875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314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28</xdr:row>
      <xdr:rowOff>9525</xdr:rowOff>
    </xdr:from>
    <xdr:to>
      <xdr:col>4</xdr:col>
      <xdr:colOff>400050</xdr:colOff>
      <xdr:row>28</xdr:row>
      <xdr:rowOff>152400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324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28</xdr:row>
      <xdr:rowOff>19050</xdr:rowOff>
    </xdr:from>
    <xdr:to>
      <xdr:col>5</xdr:col>
      <xdr:colOff>419100</xdr:colOff>
      <xdr:row>28</xdr:row>
      <xdr:rowOff>152400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3338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28</xdr:row>
      <xdr:rowOff>0</xdr:rowOff>
    </xdr:from>
    <xdr:to>
      <xdr:col>6</xdr:col>
      <xdr:colOff>428625</xdr:colOff>
      <xdr:row>29</xdr:row>
      <xdr:rowOff>19050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43148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29</xdr:row>
      <xdr:rowOff>9525</xdr:rowOff>
    </xdr:from>
    <xdr:to>
      <xdr:col>4</xdr:col>
      <xdr:colOff>400050</xdr:colOff>
      <xdr:row>29</xdr:row>
      <xdr:rowOff>152400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4862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29</xdr:row>
      <xdr:rowOff>19050</xdr:rowOff>
    </xdr:from>
    <xdr:to>
      <xdr:col>5</xdr:col>
      <xdr:colOff>419100</xdr:colOff>
      <xdr:row>29</xdr:row>
      <xdr:rowOff>152400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4958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30</xdr:row>
      <xdr:rowOff>9525</xdr:rowOff>
    </xdr:from>
    <xdr:to>
      <xdr:col>4</xdr:col>
      <xdr:colOff>400050</xdr:colOff>
      <xdr:row>30</xdr:row>
      <xdr:rowOff>152400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6482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30</xdr:row>
      <xdr:rowOff>19050</xdr:rowOff>
    </xdr:from>
    <xdr:to>
      <xdr:col>5</xdr:col>
      <xdr:colOff>419100</xdr:colOff>
      <xdr:row>30</xdr:row>
      <xdr:rowOff>152400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6577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32</xdr:row>
      <xdr:rowOff>9525</xdr:rowOff>
    </xdr:from>
    <xdr:to>
      <xdr:col>4</xdr:col>
      <xdr:colOff>400050</xdr:colOff>
      <xdr:row>32</xdr:row>
      <xdr:rowOff>152400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9720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32</xdr:row>
      <xdr:rowOff>19050</xdr:rowOff>
    </xdr:from>
    <xdr:to>
      <xdr:col>5</xdr:col>
      <xdr:colOff>419100</xdr:colOff>
      <xdr:row>32</xdr:row>
      <xdr:rowOff>152400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9815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33</xdr:row>
      <xdr:rowOff>9525</xdr:rowOff>
    </xdr:from>
    <xdr:to>
      <xdr:col>4</xdr:col>
      <xdr:colOff>400050</xdr:colOff>
      <xdr:row>33</xdr:row>
      <xdr:rowOff>152400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1339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33</xdr:row>
      <xdr:rowOff>19050</xdr:rowOff>
    </xdr:from>
    <xdr:to>
      <xdr:col>5</xdr:col>
      <xdr:colOff>419100</xdr:colOff>
      <xdr:row>33</xdr:row>
      <xdr:rowOff>152400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1435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0</xdr:rowOff>
    </xdr:from>
    <xdr:to>
      <xdr:col>4</xdr:col>
      <xdr:colOff>400050</xdr:colOff>
      <xdr:row>36</xdr:row>
      <xdr:rowOff>142875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610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0</xdr:rowOff>
    </xdr:from>
    <xdr:to>
      <xdr:col>4</xdr:col>
      <xdr:colOff>400050</xdr:colOff>
      <xdr:row>36</xdr:row>
      <xdr:rowOff>142875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610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9525</xdr:rowOff>
    </xdr:from>
    <xdr:to>
      <xdr:col>4</xdr:col>
      <xdr:colOff>400050</xdr:colOff>
      <xdr:row>36</xdr:row>
      <xdr:rowOff>152400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6197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36</xdr:row>
      <xdr:rowOff>19050</xdr:rowOff>
    </xdr:from>
    <xdr:to>
      <xdr:col>5</xdr:col>
      <xdr:colOff>419100</xdr:colOff>
      <xdr:row>36</xdr:row>
      <xdr:rowOff>152400</xdr:rowOff>
    </xdr:to>
    <xdr:pic>
      <xdr:nvPicPr>
        <xdr:cNvPr id="62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6292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9525</xdr:rowOff>
    </xdr:from>
    <xdr:to>
      <xdr:col>4</xdr:col>
      <xdr:colOff>400050</xdr:colOff>
      <xdr:row>37</xdr:row>
      <xdr:rowOff>152400</xdr:rowOff>
    </xdr:to>
    <xdr:pic>
      <xdr:nvPicPr>
        <xdr:cNvPr id="63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7816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37</xdr:row>
      <xdr:rowOff>38100</xdr:rowOff>
    </xdr:from>
    <xdr:to>
      <xdr:col>4</xdr:col>
      <xdr:colOff>638175</xdr:colOff>
      <xdr:row>37</xdr:row>
      <xdr:rowOff>123825</xdr:rowOff>
    </xdr:to>
    <xdr:pic>
      <xdr:nvPicPr>
        <xdr:cNvPr id="64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58102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9525</xdr:rowOff>
    </xdr:from>
    <xdr:to>
      <xdr:col>4</xdr:col>
      <xdr:colOff>400050</xdr:colOff>
      <xdr:row>41</xdr:row>
      <xdr:rowOff>152400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429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41</xdr:row>
      <xdr:rowOff>19050</xdr:rowOff>
    </xdr:from>
    <xdr:to>
      <xdr:col>5</xdr:col>
      <xdr:colOff>419100</xdr:colOff>
      <xdr:row>41</xdr:row>
      <xdr:rowOff>152400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4389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41</xdr:row>
      <xdr:rowOff>0</xdr:rowOff>
    </xdr:from>
    <xdr:to>
      <xdr:col>6</xdr:col>
      <xdr:colOff>428625</xdr:colOff>
      <xdr:row>42</xdr:row>
      <xdr:rowOff>19050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64198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42</xdr:row>
      <xdr:rowOff>19050</xdr:rowOff>
    </xdr:from>
    <xdr:to>
      <xdr:col>5</xdr:col>
      <xdr:colOff>419100</xdr:colOff>
      <xdr:row>42</xdr:row>
      <xdr:rowOff>152400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6008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42</xdr:row>
      <xdr:rowOff>9525</xdr:rowOff>
    </xdr:from>
    <xdr:to>
      <xdr:col>4</xdr:col>
      <xdr:colOff>400050</xdr:colOff>
      <xdr:row>42</xdr:row>
      <xdr:rowOff>152400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591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43</xdr:row>
      <xdr:rowOff>9525</xdr:rowOff>
    </xdr:from>
    <xdr:to>
      <xdr:col>4</xdr:col>
      <xdr:colOff>400050</xdr:colOff>
      <xdr:row>43</xdr:row>
      <xdr:rowOff>152400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753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43</xdr:row>
      <xdr:rowOff>19050</xdr:rowOff>
    </xdr:from>
    <xdr:to>
      <xdr:col>5</xdr:col>
      <xdr:colOff>638175</xdr:colOff>
      <xdr:row>44</xdr:row>
      <xdr:rowOff>47625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762750"/>
          <a:ext cx="4191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44</xdr:row>
      <xdr:rowOff>9525</xdr:rowOff>
    </xdr:from>
    <xdr:to>
      <xdr:col>4</xdr:col>
      <xdr:colOff>400050</xdr:colOff>
      <xdr:row>44</xdr:row>
      <xdr:rowOff>152400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9151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44</xdr:row>
      <xdr:rowOff>19050</xdr:rowOff>
    </xdr:from>
    <xdr:to>
      <xdr:col>5</xdr:col>
      <xdr:colOff>419100</xdr:colOff>
      <xdr:row>44</xdr:row>
      <xdr:rowOff>152400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9246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45</xdr:row>
      <xdr:rowOff>9525</xdr:rowOff>
    </xdr:from>
    <xdr:to>
      <xdr:col>4</xdr:col>
      <xdr:colOff>400050</xdr:colOff>
      <xdr:row>45</xdr:row>
      <xdr:rowOff>152400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0770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9525</xdr:rowOff>
    </xdr:from>
    <xdr:to>
      <xdr:col>4</xdr:col>
      <xdr:colOff>400050</xdr:colOff>
      <xdr:row>47</xdr:row>
      <xdr:rowOff>152400</xdr:rowOff>
    </xdr:to>
    <xdr:pic>
      <xdr:nvPicPr>
        <xdr:cNvPr id="75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400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47</xdr:row>
      <xdr:rowOff>19050</xdr:rowOff>
    </xdr:from>
    <xdr:to>
      <xdr:col>5</xdr:col>
      <xdr:colOff>419100</xdr:colOff>
      <xdr:row>47</xdr:row>
      <xdr:rowOff>152400</xdr:rowOff>
    </xdr:to>
    <xdr:pic>
      <xdr:nvPicPr>
        <xdr:cNvPr id="76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4104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47</xdr:row>
      <xdr:rowOff>0</xdr:rowOff>
    </xdr:from>
    <xdr:to>
      <xdr:col>6</xdr:col>
      <xdr:colOff>428625</xdr:colOff>
      <xdr:row>48</xdr:row>
      <xdr:rowOff>19050</xdr:rowOff>
    </xdr:to>
    <xdr:pic>
      <xdr:nvPicPr>
        <xdr:cNvPr id="77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73914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48</xdr:row>
      <xdr:rowOff>9525</xdr:rowOff>
    </xdr:from>
    <xdr:to>
      <xdr:col>4</xdr:col>
      <xdr:colOff>400050</xdr:colOff>
      <xdr:row>48</xdr:row>
      <xdr:rowOff>152400</xdr:rowOff>
    </xdr:to>
    <xdr:pic>
      <xdr:nvPicPr>
        <xdr:cNvPr id="78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562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47</xdr:row>
      <xdr:rowOff>19050</xdr:rowOff>
    </xdr:from>
    <xdr:to>
      <xdr:col>5</xdr:col>
      <xdr:colOff>419100</xdr:colOff>
      <xdr:row>47</xdr:row>
      <xdr:rowOff>152400</xdr:rowOff>
    </xdr:to>
    <xdr:pic>
      <xdr:nvPicPr>
        <xdr:cNvPr id="79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4104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48</xdr:row>
      <xdr:rowOff>38100</xdr:rowOff>
    </xdr:from>
    <xdr:to>
      <xdr:col>4</xdr:col>
      <xdr:colOff>638175</xdr:colOff>
      <xdr:row>48</xdr:row>
      <xdr:rowOff>123825</xdr:rowOff>
    </xdr:to>
    <xdr:pic>
      <xdr:nvPicPr>
        <xdr:cNvPr id="80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75914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48</xdr:row>
      <xdr:rowOff>19050</xdr:rowOff>
    </xdr:from>
    <xdr:to>
      <xdr:col>5</xdr:col>
      <xdr:colOff>419100</xdr:colOff>
      <xdr:row>48</xdr:row>
      <xdr:rowOff>152400</xdr:rowOff>
    </xdr:to>
    <xdr:pic>
      <xdr:nvPicPr>
        <xdr:cNvPr id="81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5723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48</xdr:row>
      <xdr:rowOff>38100</xdr:rowOff>
    </xdr:from>
    <xdr:to>
      <xdr:col>5</xdr:col>
      <xdr:colOff>638175</xdr:colOff>
      <xdr:row>48</xdr:row>
      <xdr:rowOff>123825</xdr:rowOff>
    </xdr:to>
    <xdr:pic>
      <xdr:nvPicPr>
        <xdr:cNvPr id="82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75914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49</xdr:row>
      <xdr:rowOff>9525</xdr:rowOff>
    </xdr:from>
    <xdr:to>
      <xdr:col>4</xdr:col>
      <xdr:colOff>400050</xdr:colOff>
      <xdr:row>49</xdr:row>
      <xdr:rowOff>152400</xdr:rowOff>
    </xdr:to>
    <xdr:pic>
      <xdr:nvPicPr>
        <xdr:cNvPr id="83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7247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52</xdr:row>
      <xdr:rowOff>9525</xdr:rowOff>
    </xdr:from>
    <xdr:to>
      <xdr:col>4</xdr:col>
      <xdr:colOff>400050</xdr:colOff>
      <xdr:row>52</xdr:row>
      <xdr:rowOff>152400</xdr:rowOff>
    </xdr:to>
    <xdr:pic>
      <xdr:nvPicPr>
        <xdr:cNvPr id="84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2105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52</xdr:row>
      <xdr:rowOff>19050</xdr:rowOff>
    </xdr:from>
    <xdr:to>
      <xdr:col>5</xdr:col>
      <xdr:colOff>419100</xdr:colOff>
      <xdr:row>52</xdr:row>
      <xdr:rowOff>152400</xdr:rowOff>
    </xdr:to>
    <xdr:pic>
      <xdr:nvPicPr>
        <xdr:cNvPr id="85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2200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53</xdr:row>
      <xdr:rowOff>9525</xdr:rowOff>
    </xdr:from>
    <xdr:to>
      <xdr:col>4</xdr:col>
      <xdr:colOff>400050</xdr:colOff>
      <xdr:row>53</xdr:row>
      <xdr:rowOff>152400</xdr:rowOff>
    </xdr:to>
    <xdr:pic>
      <xdr:nvPicPr>
        <xdr:cNvPr id="86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3724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53</xdr:row>
      <xdr:rowOff>19050</xdr:rowOff>
    </xdr:from>
    <xdr:to>
      <xdr:col>5</xdr:col>
      <xdr:colOff>419100</xdr:colOff>
      <xdr:row>53</xdr:row>
      <xdr:rowOff>152400</xdr:rowOff>
    </xdr:to>
    <xdr:pic>
      <xdr:nvPicPr>
        <xdr:cNvPr id="87" name="Picture 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3820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54</xdr:row>
      <xdr:rowOff>9525</xdr:rowOff>
    </xdr:from>
    <xdr:to>
      <xdr:col>4</xdr:col>
      <xdr:colOff>400050</xdr:colOff>
      <xdr:row>54</xdr:row>
      <xdr:rowOff>152400</xdr:rowOff>
    </xdr:to>
    <xdr:pic>
      <xdr:nvPicPr>
        <xdr:cNvPr id="88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534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54</xdr:row>
      <xdr:rowOff>38100</xdr:rowOff>
    </xdr:from>
    <xdr:to>
      <xdr:col>4</xdr:col>
      <xdr:colOff>638175</xdr:colOff>
      <xdr:row>54</xdr:row>
      <xdr:rowOff>123825</xdr:rowOff>
    </xdr:to>
    <xdr:pic>
      <xdr:nvPicPr>
        <xdr:cNvPr id="89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85629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55</xdr:row>
      <xdr:rowOff>9525</xdr:rowOff>
    </xdr:from>
    <xdr:to>
      <xdr:col>4</xdr:col>
      <xdr:colOff>400050</xdr:colOff>
      <xdr:row>55</xdr:row>
      <xdr:rowOff>152400</xdr:rowOff>
    </xdr:to>
    <xdr:pic>
      <xdr:nvPicPr>
        <xdr:cNvPr id="90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696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55</xdr:row>
      <xdr:rowOff>19050</xdr:rowOff>
    </xdr:from>
    <xdr:to>
      <xdr:col>5</xdr:col>
      <xdr:colOff>419100</xdr:colOff>
      <xdr:row>55</xdr:row>
      <xdr:rowOff>152400</xdr:rowOff>
    </xdr:to>
    <xdr:pic>
      <xdr:nvPicPr>
        <xdr:cNvPr id="91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705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55</xdr:row>
      <xdr:rowOff>0</xdr:rowOff>
    </xdr:from>
    <xdr:to>
      <xdr:col>6</xdr:col>
      <xdr:colOff>428625</xdr:colOff>
      <xdr:row>56</xdr:row>
      <xdr:rowOff>19050</xdr:rowOff>
    </xdr:to>
    <xdr:pic>
      <xdr:nvPicPr>
        <xdr:cNvPr id="92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86868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56</xdr:row>
      <xdr:rowOff>9525</xdr:rowOff>
    </xdr:from>
    <xdr:to>
      <xdr:col>4</xdr:col>
      <xdr:colOff>400050</xdr:colOff>
      <xdr:row>56</xdr:row>
      <xdr:rowOff>152400</xdr:rowOff>
    </xdr:to>
    <xdr:pic>
      <xdr:nvPicPr>
        <xdr:cNvPr id="93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8582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56</xdr:row>
      <xdr:rowOff>19050</xdr:rowOff>
    </xdr:from>
    <xdr:to>
      <xdr:col>5</xdr:col>
      <xdr:colOff>419100</xdr:colOff>
      <xdr:row>56</xdr:row>
      <xdr:rowOff>152400</xdr:rowOff>
    </xdr:to>
    <xdr:pic>
      <xdr:nvPicPr>
        <xdr:cNvPr id="94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8677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57</xdr:row>
      <xdr:rowOff>9525</xdr:rowOff>
    </xdr:from>
    <xdr:to>
      <xdr:col>4</xdr:col>
      <xdr:colOff>400050</xdr:colOff>
      <xdr:row>57</xdr:row>
      <xdr:rowOff>152400</xdr:rowOff>
    </xdr:to>
    <xdr:pic>
      <xdr:nvPicPr>
        <xdr:cNvPr id="95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0201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58</xdr:row>
      <xdr:rowOff>9525</xdr:rowOff>
    </xdr:from>
    <xdr:to>
      <xdr:col>4</xdr:col>
      <xdr:colOff>400050</xdr:colOff>
      <xdr:row>58</xdr:row>
      <xdr:rowOff>152400</xdr:rowOff>
    </xdr:to>
    <xdr:pic>
      <xdr:nvPicPr>
        <xdr:cNvPr id="96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1821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58</xdr:row>
      <xdr:rowOff>19050</xdr:rowOff>
    </xdr:from>
    <xdr:to>
      <xdr:col>5</xdr:col>
      <xdr:colOff>419100</xdr:colOff>
      <xdr:row>58</xdr:row>
      <xdr:rowOff>152400</xdr:rowOff>
    </xdr:to>
    <xdr:pic>
      <xdr:nvPicPr>
        <xdr:cNvPr id="97" name="Picture 1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1916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59</xdr:row>
      <xdr:rowOff>9525</xdr:rowOff>
    </xdr:from>
    <xdr:to>
      <xdr:col>4</xdr:col>
      <xdr:colOff>400050</xdr:colOff>
      <xdr:row>59</xdr:row>
      <xdr:rowOff>152400</xdr:rowOff>
    </xdr:to>
    <xdr:pic>
      <xdr:nvPicPr>
        <xdr:cNvPr id="98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3440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59</xdr:row>
      <xdr:rowOff>19050</xdr:rowOff>
    </xdr:from>
    <xdr:to>
      <xdr:col>5</xdr:col>
      <xdr:colOff>419100</xdr:colOff>
      <xdr:row>59</xdr:row>
      <xdr:rowOff>152400</xdr:rowOff>
    </xdr:to>
    <xdr:pic>
      <xdr:nvPicPr>
        <xdr:cNvPr id="99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3535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61</xdr:row>
      <xdr:rowOff>9525</xdr:rowOff>
    </xdr:from>
    <xdr:to>
      <xdr:col>4</xdr:col>
      <xdr:colOff>400050</xdr:colOff>
      <xdr:row>61</xdr:row>
      <xdr:rowOff>152400</xdr:rowOff>
    </xdr:to>
    <xdr:pic>
      <xdr:nvPicPr>
        <xdr:cNvPr id="100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667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61</xdr:row>
      <xdr:rowOff>19050</xdr:rowOff>
    </xdr:from>
    <xdr:to>
      <xdr:col>5</xdr:col>
      <xdr:colOff>419100</xdr:colOff>
      <xdr:row>61</xdr:row>
      <xdr:rowOff>152400</xdr:rowOff>
    </xdr:to>
    <xdr:pic>
      <xdr:nvPicPr>
        <xdr:cNvPr id="101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6774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0</xdr:rowOff>
    </xdr:from>
    <xdr:to>
      <xdr:col>4</xdr:col>
      <xdr:colOff>400050</xdr:colOff>
      <xdr:row>40</xdr:row>
      <xdr:rowOff>142875</xdr:rowOff>
    </xdr:to>
    <xdr:pic>
      <xdr:nvPicPr>
        <xdr:cNvPr id="102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257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40</xdr:row>
      <xdr:rowOff>0</xdr:rowOff>
    </xdr:from>
    <xdr:to>
      <xdr:col>5</xdr:col>
      <xdr:colOff>419100</xdr:colOff>
      <xdr:row>40</xdr:row>
      <xdr:rowOff>133350</xdr:rowOff>
    </xdr:to>
    <xdr:pic>
      <xdr:nvPicPr>
        <xdr:cNvPr id="103" name="Picture 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2579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0</xdr:rowOff>
    </xdr:from>
    <xdr:to>
      <xdr:col>4</xdr:col>
      <xdr:colOff>400050</xdr:colOff>
      <xdr:row>40</xdr:row>
      <xdr:rowOff>142875</xdr:rowOff>
    </xdr:to>
    <xdr:pic>
      <xdr:nvPicPr>
        <xdr:cNvPr id="104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257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40</xdr:row>
      <xdr:rowOff>0</xdr:rowOff>
    </xdr:from>
    <xdr:to>
      <xdr:col>5</xdr:col>
      <xdr:colOff>419100</xdr:colOff>
      <xdr:row>40</xdr:row>
      <xdr:rowOff>133350</xdr:rowOff>
    </xdr:to>
    <xdr:pic>
      <xdr:nvPicPr>
        <xdr:cNvPr id="105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2579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9525</xdr:rowOff>
    </xdr:from>
    <xdr:to>
      <xdr:col>4</xdr:col>
      <xdr:colOff>400050</xdr:colOff>
      <xdr:row>40</xdr:row>
      <xdr:rowOff>152400</xdr:rowOff>
    </xdr:to>
    <xdr:pic>
      <xdr:nvPicPr>
        <xdr:cNvPr id="106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2674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40</xdr:row>
      <xdr:rowOff>19050</xdr:rowOff>
    </xdr:from>
    <xdr:to>
      <xdr:col>5</xdr:col>
      <xdr:colOff>419100</xdr:colOff>
      <xdr:row>40</xdr:row>
      <xdr:rowOff>152400</xdr:rowOff>
    </xdr:to>
    <xdr:pic>
      <xdr:nvPicPr>
        <xdr:cNvPr id="107" name="Picture 1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2769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64</xdr:row>
      <xdr:rowOff>9525</xdr:rowOff>
    </xdr:from>
    <xdr:to>
      <xdr:col>4</xdr:col>
      <xdr:colOff>400050</xdr:colOff>
      <xdr:row>64</xdr:row>
      <xdr:rowOff>152400</xdr:rowOff>
    </xdr:to>
    <xdr:pic>
      <xdr:nvPicPr>
        <xdr:cNvPr id="108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1536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65</xdr:row>
      <xdr:rowOff>9525</xdr:rowOff>
    </xdr:from>
    <xdr:to>
      <xdr:col>4</xdr:col>
      <xdr:colOff>400050</xdr:colOff>
      <xdr:row>65</xdr:row>
      <xdr:rowOff>152400</xdr:rowOff>
    </xdr:to>
    <xdr:pic>
      <xdr:nvPicPr>
        <xdr:cNvPr id="109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3155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65</xdr:row>
      <xdr:rowOff>19050</xdr:rowOff>
    </xdr:from>
    <xdr:to>
      <xdr:col>5</xdr:col>
      <xdr:colOff>419100</xdr:colOff>
      <xdr:row>65</xdr:row>
      <xdr:rowOff>152400</xdr:rowOff>
    </xdr:to>
    <xdr:pic>
      <xdr:nvPicPr>
        <xdr:cNvPr id="110" name="Picture 1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3251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66</xdr:row>
      <xdr:rowOff>9525</xdr:rowOff>
    </xdr:from>
    <xdr:to>
      <xdr:col>4</xdr:col>
      <xdr:colOff>400050</xdr:colOff>
      <xdr:row>66</xdr:row>
      <xdr:rowOff>152400</xdr:rowOff>
    </xdr:to>
    <xdr:pic>
      <xdr:nvPicPr>
        <xdr:cNvPr id="111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4775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66</xdr:row>
      <xdr:rowOff>19050</xdr:rowOff>
    </xdr:from>
    <xdr:to>
      <xdr:col>5</xdr:col>
      <xdr:colOff>419100</xdr:colOff>
      <xdr:row>66</xdr:row>
      <xdr:rowOff>152400</xdr:rowOff>
    </xdr:to>
    <xdr:pic>
      <xdr:nvPicPr>
        <xdr:cNvPr id="112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4870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46</xdr:row>
      <xdr:rowOff>9525</xdr:rowOff>
    </xdr:from>
    <xdr:to>
      <xdr:col>4</xdr:col>
      <xdr:colOff>400050</xdr:colOff>
      <xdr:row>46</xdr:row>
      <xdr:rowOff>152400</xdr:rowOff>
    </xdr:to>
    <xdr:pic>
      <xdr:nvPicPr>
        <xdr:cNvPr id="113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2390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46</xdr:row>
      <xdr:rowOff>19050</xdr:rowOff>
    </xdr:from>
    <xdr:to>
      <xdr:col>5</xdr:col>
      <xdr:colOff>419100</xdr:colOff>
      <xdr:row>46</xdr:row>
      <xdr:rowOff>152400</xdr:rowOff>
    </xdr:to>
    <xdr:pic>
      <xdr:nvPicPr>
        <xdr:cNvPr id="114" name="Picture 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2485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67</xdr:row>
      <xdr:rowOff>9525</xdr:rowOff>
    </xdr:from>
    <xdr:to>
      <xdr:col>4</xdr:col>
      <xdr:colOff>400050</xdr:colOff>
      <xdr:row>67</xdr:row>
      <xdr:rowOff>152400</xdr:rowOff>
    </xdr:to>
    <xdr:pic>
      <xdr:nvPicPr>
        <xdr:cNvPr id="115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6394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67</xdr:row>
      <xdr:rowOff>19050</xdr:rowOff>
    </xdr:from>
    <xdr:to>
      <xdr:col>5</xdr:col>
      <xdr:colOff>419100</xdr:colOff>
      <xdr:row>67</xdr:row>
      <xdr:rowOff>152400</xdr:rowOff>
    </xdr:to>
    <xdr:pic>
      <xdr:nvPicPr>
        <xdr:cNvPr id="116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6489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71</xdr:row>
      <xdr:rowOff>9525</xdr:rowOff>
    </xdr:from>
    <xdr:to>
      <xdr:col>4</xdr:col>
      <xdr:colOff>400050</xdr:colOff>
      <xdr:row>71</xdr:row>
      <xdr:rowOff>152400</xdr:rowOff>
    </xdr:to>
    <xdr:pic>
      <xdr:nvPicPr>
        <xdr:cNvPr id="117" name="Picture 1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287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71</xdr:row>
      <xdr:rowOff>19050</xdr:rowOff>
    </xdr:from>
    <xdr:to>
      <xdr:col>5</xdr:col>
      <xdr:colOff>419100</xdr:colOff>
      <xdr:row>71</xdr:row>
      <xdr:rowOff>152400</xdr:rowOff>
    </xdr:to>
    <xdr:pic>
      <xdr:nvPicPr>
        <xdr:cNvPr id="118" name="Picture 1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2966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71</xdr:row>
      <xdr:rowOff>38100</xdr:rowOff>
    </xdr:from>
    <xdr:to>
      <xdr:col>4</xdr:col>
      <xdr:colOff>638175</xdr:colOff>
      <xdr:row>71</xdr:row>
      <xdr:rowOff>123825</xdr:rowOff>
    </xdr:to>
    <xdr:pic>
      <xdr:nvPicPr>
        <xdr:cNvPr id="119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13157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71</xdr:row>
      <xdr:rowOff>38100</xdr:rowOff>
    </xdr:from>
    <xdr:to>
      <xdr:col>5</xdr:col>
      <xdr:colOff>638175</xdr:colOff>
      <xdr:row>71</xdr:row>
      <xdr:rowOff>123825</xdr:rowOff>
    </xdr:to>
    <xdr:pic>
      <xdr:nvPicPr>
        <xdr:cNvPr id="120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13157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72</xdr:row>
      <xdr:rowOff>9525</xdr:rowOff>
    </xdr:from>
    <xdr:to>
      <xdr:col>4</xdr:col>
      <xdr:colOff>400050</xdr:colOff>
      <xdr:row>72</xdr:row>
      <xdr:rowOff>152400</xdr:rowOff>
    </xdr:to>
    <xdr:pic>
      <xdr:nvPicPr>
        <xdr:cNvPr id="121" name="Picture 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4490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72</xdr:row>
      <xdr:rowOff>19050</xdr:rowOff>
    </xdr:from>
    <xdr:to>
      <xdr:col>5</xdr:col>
      <xdr:colOff>419100</xdr:colOff>
      <xdr:row>72</xdr:row>
      <xdr:rowOff>152400</xdr:rowOff>
    </xdr:to>
    <xdr:pic>
      <xdr:nvPicPr>
        <xdr:cNvPr id="122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4585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73</xdr:row>
      <xdr:rowOff>9525</xdr:rowOff>
    </xdr:from>
    <xdr:to>
      <xdr:col>4</xdr:col>
      <xdr:colOff>400050</xdr:colOff>
      <xdr:row>73</xdr:row>
      <xdr:rowOff>152400</xdr:rowOff>
    </xdr:to>
    <xdr:pic>
      <xdr:nvPicPr>
        <xdr:cNvPr id="123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6109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73</xdr:row>
      <xdr:rowOff>38100</xdr:rowOff>
    </xdr:from>
    <xdr:to>
      <xdr:col>4</xdr:col>
      <xdr:colOff>638175</xdr:colOff>
      <xdr:row>73</xdr:row>
      <xdr:rowOff>123825</xdr:rowOff>
    </xdr:to>
    <xdr:pic>
      <xdr:nvPicPr>
        <xdr:cNvPr id="124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16395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73</xdr:row>
      <xdr:rowOff>19050</xdr:rowOff>
    </xdr:from>
    <xdr:to>
      <xdr:col>5</xdr:col>
      <xdr:colOff>419100</xdr:colOff>
      <xdr:row>73</xdr:row>
      <xdr:rowOff>152400</xdr:rowOff>
    </xdr:to>
    <xdr:pic>
      <xdr:nvPicPr>
        <xdr:cNvPr id="125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6205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73</xdr:row>
      <xdr:rowOff>38100</xdr:rowOff>
    </xdr:from>
    <xdr:to>
      <xdr:col>5</xdr:col>
      <xdr:colOff>638175</xdr:colOff>
      <xdr:row>73</xdr:row>
      <xdr:rowOff>123825</xdr:rowOff>
    </xdr:to>
    <xdr:pic>
      <xdr:nvPicPr>
        <xdr:cNvPr id="126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16395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74</xdr:row>
      <xdr:rowOff>0</xdr:rowOff>
    </xdr:from>
    <xdr:to>
      <xdr:col>4</xdr:col>
      <xdr:colOff>400050</xdr:colOff>
      <xdr:row>74</xdr:row>
      <xdr:rowOff>142875</xdr:rowOff>
    </xdr:to>
    <xdr:pic>
      <xdr:nvPicPr>
        <xdr:cNvPr id="127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763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74</xdr:row>
      <xdr:rowOff>0</xdr:rowOff>
    </xdr:from>
    <xdr:to>
      <xdr:col>5</xdr:col>
      <xdr:colOff>419100</xdr:colOff>
      <xdr:row>74</xdr:row>
      <xdr:rowOff>133350</xdr:rowOff>
    </xdr:to>
    <xdr:pic>
      <xdr:nvPicPr>
        <xdr:cNvPr id="128" name="Picture 1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7633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74</xdr:row>
      <xdr:rowOff>9525</xdr:rowOff>
    </xdr:from>
    <xdr:to>
      <xdr:col>4</xdr:col>
      <xdr:colOff>400050</xdr:colOff>
      <xdr:row>74</xdr:row>
      <xdr:rowOff>152400</xdr:rowOff>
    </xdr:to>
    <xdr:pic>
      <xdr:nvPicPr>
        <xdr:cNvPr id="129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7729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74</xdr:row>
      <xdr:rowOff>19050</xdr:rowOff>
    </xdr:from>
    <xdr:to>
      <xdr:col>5</xdr:col>
      <xdr:colOff>419100</xdr:colOff>
      <xdr:row>74</xdr:row>
      <xdr:rowOff>152400</xdr:rowOff>
    </xdr:to>
    <xdr:pic>
      <xdr:nvPicPr>
        <xdr:cNvPr id="130" name="Picture 1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7824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75</xdr:row>
      <xdr:rowOff>9525</xdr:rowOff>
    </xdr:from>
    <xdr:to>
      <xdr:col>4</xdr:col>
      <xdr:colOff>400050</xdr:colOff>
      <xdr:row>75</xdr:row>
      <xdr:rowOff>152400</xdr:rowOff>
    </xdr:to>
    <xdr:pic>
      <xdr:nvPicPr>
        <xdr:cNvPr id="131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934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75</xdr:row>
      <xdr:rowOff>38100</xdr:rowOff>
    </xdr:from>
    <xdr:to>
      <xdr:col>4</xdr:col>
      <xdr:colOff>638175</xdr:colOff>
      <xdr:row>75</xdr:row>
      <xdr:rowOff>123825</xdr:rowOff>
    </xdr:to>
    <xdr:pic>
      <xdr:nvPicPr>
        <xdr:cNvPr id="132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19634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75</xdr:row>
      <xdr:rowOff>19050</xdr:rowOff>
    </xdr:from>
    <xdr:to>
      <xdr:col>5</xdr:col>
      <xdr:colOff>419100</xdr:colOff>
      <xdr:row>75</xdr:row>
      <xdr:rowOff>152400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9443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75</xdr:row>
      <xdr:rowOff>38100</xdr:rowOff>
    </xdr:from>
    <xdr:to>
      <xdr:col>5</xdr:col>
      <xdr:colOff>638175</xdr:colOff>
      <xdr:row>75</xdr:row>
      <xdr:rowOff>123825</xdr:rowOff>
    </xdr:to>
    <xdr:pic>
      <xdr:nvPicPr>
        <xdr:cNvPr id="134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19634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9525</xdr:rowOff>
    </xdr:from>
    <xdr:to>
      <xdr:col>4</xdr:col>
      <xdr:colOff>400050</xdr:colOff>
      <xdr:row>34</xdr:row>
      <xdr:rowOff>152400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2959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76</xdr:row>
      <xdr:rowOff>0</xdr:rowOff>
    </xdr:from>
    <xdr:to>
      <xdr:col>4</xdr:col>
      <xdr:colOff>400050</xdr:colOff>
      <xdr:row>76</xdr:row>
      <xdr:rowOff>142875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087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76</xdr:row>
      <xdr:rowOff>9525</xdr:rowOff>
    </xdr:from>
    <xdr:to>
      <xdr:col>4</xdr:col>
      <xdr:colOff>400050</xdr:colOff>
      <xdr:row>76</xdr:row>
      <xdr:rowOff>152400</xdr:rowOff>
    </xdr:to>
    <xdr:pic>
      <xdr:nvPicPr>
        <xdr:cNvPr id="137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0967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77</xdr:row>
      <xdr:rowOff>9525</xdr:rowOff>
    </xdr:from>
    <xdr:to>
      <xdr:col>4</xdr:col>
      <xdr:colOff>400050</xdr:colOff>
      <xdr:row>77</xdr:row>
      <xdr:rowOff>152400</xdr:rowOff>
    </xdr:to>
    <xdr:pic>
      <xdr:nvPicPr>
        <xdr:cNvPr id="138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2586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78</xdr:row>
      <xdr:rowOff>9525</xdr:rowOff>
    </xdr:from>
    <xdr:to>
      <xdr:col>4</xdr:col>
      <xdr:colOff>400050</xdr:colOff>
      <xdr:row>78</xdr:row>
      <xdr:rowOff>152400</xdr:rowOff>
    </xdr:to>
    <xdr:pic>
      <xdr:nvPicPr>
        <xdr:cNvPr id="139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420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79</xdr:row>
      <xdr:rowOff>9525</xdr:rowOff>
    </xdr:from>
    <xdr:to>
      <xdr:col>4</xdr:col>
      <xdr:colOff>400050</xdr:colOff>
      <xdr:row>79</xdr:row>
      <xdr:rowOff>152400</xdr:rowOff>
    </xdr:to>
    <xdr:pic>
      <xdr:nvPicPr>
        <xdr:cNvPr id="140" name="Picture 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5825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79</xdr:row>
      <xdr:rowOff>19050</xdr:rowOff>
    </xdr:from>
    <xdr:to>
      <xdr:col>5</xdr:col>
      <xdr:colOff>419100</xdr:colOff>
      <xdr:row>79</xdr:row>
      <xdr:rowOff>152400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5920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0</xdr:rowOff>
    </xdr:from>
    <xdr:to>
      <xdr:col>4</xdr:col>
      <xdr:colOff>400050</xdr:colOff>
      <xdr:row>38</xdr:row>
      <xdr:rowOff>142875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9340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9525</xdr:rowOff>
    </xdr:from>
    <xdr:to>
      <xdr:col>4</xdr:col>
      <xdr:colOff>400050</xdr:colOff>
      <xdr:row>38</xdr:row>
      <xdr:rowOff>152400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943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81</xdr:row>
      <xdr:rowOff>0</xdr:rowOff>
    </xdr:from>
    <xdr:to>
      <xdr:col>4</xdr:col>
      <xdr:colOff>400050</xdr:colOff>
      <xdr:row>81</xdr:row>
      <xdr:rowOff>142875</xdr:rowOff>
    </xdr:to>
    <xdr:pic>
      <xdr:nvPicPr>
        <xdr:cNvPr id="144" name="Picture 1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896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81</xdr:row>
      <xdr:rowOff>0</xdr:rowOff>
    </xdr:from>
    <xdr:to>
      <xdr:col>5</xdr:col>
      <xdr:colOff>419100</xdr:colOff>
      <xdr:row>81</xdr:row>
      <xdr:rowOff>133350</xdr:rowOff>
    </xdr:to>
    <xdr:pic>
      <xdr:nvPicPr>
        <xdr:cNvPr id="145" name="Picture 1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896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81</xdr:row>
      <xdr:rowOff>9525</xdr:rowOff>
    </xdr:from>
    <xdr:to>
      <xdr:col>4</xdr:col>
      <xdr:colOff>400050</xdr:colOff>
      <xdr:row>81</xdr:row>
      <xdr:rowOff>152400</xdr:rowOff>
    </xdr:to>
    <xdr:pic>
      <xdr:nvPicPr>
        <xdr:cNvPr id="146" name="Picture 1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906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81</xdr:row>
      <xdr:rowOff>19050</xdr:rowOff>
    </xdr:from>
    <xdr:to>
      <xdr:col>5</xdr:col>
      <xdr:colOff>419100</xdr:colOff>
      <xdr:row>81</xdr:row>
      <xdr:rowOff>152400</xdr:rowOff>
    </xdr:to>
    <xdr:pic>
      <xdr:nvPicPr>
        <xdr:cNvPr id="147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9159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68</xdr:row>
      <xdr:rowOff>0</xdr:rowOff>
    </xdr:from>
    <xdr:to>
      <xdr:col>4</xdr:col>
      <xdr:colOff>400050</xdr:colOff>
      <xdr:row>68</xdr:row>
      <xdr:rowOff>142875</xdr:rowOff>
    </xdr:to>
    <xdr:pic>
      <xdr:nvPicPr>
        <xdr:cNvPr id="148" name="Picture 1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791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68</xdr:row>
      <xdr:rowOff>0</xdr:rowOff>
    </xdr:from>
    <xdr:to>
      <xdr:col>5</xdr:col>
      <xdr:colOff>419100</xdr:colOff>
      <xdr:row>68</xdr:row>
      <xdr:rowOff>133350</xdr:rowOff>
    </xdr:to>
    <xdr:pic>
      <xdr:nvPicPr>
        <xdr:cNvPr id="149" name="Picture 1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7918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68</xdr:row>
      <xdr:rowOff>0</xdr:rowOff>
    </xdr:from>
    <xdr:to>
      <xdr:col>4</xdr:col>
      <xdr:colOff>400050</xdr:colOff>
      <xdr:row>68</xdr:row>
      <xdr:rowOff>142875</xdr:rowOff>
    </xdr:to>
    <xdr:pic>
      <xdr:nvPicPr>
        <xdr:cNvPr id="150" name="Picture 1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791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68</xdr:row>
      <xdr:rowOff>0</xdr:rowOff>
    </xdr:from>
    <xdr:to>
      <xdr:col>5</xdr:col>
      <xdr:colOff>419100</xdr:colOff>
      <xdr:row>68</xdr:row>
      <xdr:rowOff>133350</xdr:rowOff>
    </xdr:to>
    <xdr:pic>
      <xdr:nvPicPr>
        <xdr:cNvPr id="151" name="Picture 1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7918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68</xdr:row>
      <xdr:rowOff>9525</xdr:rowOff>
    </xdr:from>
    <xdr:to>
      <xdr:col>4</xdr:col>
      <xdr:colOff>400050</xdr:colOff>
      <xdr:row>68</xdr:row>
      <xdr:rowOff>152400</xdr:rowOff>
    </xdr:to>
    <xdr:pic>
      <xdr:nvPicPr>
        <xdr:cNvPr id="152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801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68</xdr:row>
      <xdr:rowOff>19050</xdr:rowOff>
    </xdr:from>
    <xdr:to>
      <xdr:col>5</xdr:col>
      <xdr:colOff>419100</xdr:colOff>
      <xdr:row>68</xdr:row>
      <xdr:rowOff>152400</xdr:rowOff>
    </xdr:to>
    <xdr:pic>
      <xdr:nvPicPr>
        <xdr:cNvPr id="153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8108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82</xdr:row>
      <xdr:rowOff>9525</xdr:rowOff>
    </xdr:from>
    <xdr:to>
      <xdr:col>4</xdr:col>
      <xdr:colOff>400050</xdr:colOff>
      <xdr:row>82</xdr:row>
      <xdr:rowOff>152400</xdr:rowOff>
    </xdr:to>
    <xdr:pic>
      <xdr:nvPicPr>
        <xdr:cNvPr id="154" name="Picture 1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068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82</xdr:row>
      <xdr:rowOff>19050</xdr:rowOff>
    </xdr:from>
    <xdr:to>
      <xdr:col>5</xdr:col>
      <xdr:colOff>419100</xdr:colOff>
      <xdr:row>82</xdr:row>
      <xdr:rowOff>152400</xdr:rowOff>
    </xdr:to>
    <xdr:pic>
      <xdr:nvPicPr>
        <xdr:cNvPr id="155" name="Picture 1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30778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83</xdr:row>
      <xdr:rowOff>9525</xdr:rowOff>
    </xdr:from>
    <xdr:to>
      <xdr:col>4</xdr:col>
      <xdr:colOff>400050</xdr:colOff>
      <xdr:row>83</xdr:row>
      <xdr:rowOff>152400</xdr:rowOff>
    </xdr:to>
    <xdr:pic>
      <xdr:nvPicPr>
        <xdr:cNvPr id="156" name="Picture 1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230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83</xdr:row>
      <xdr:rowOff>38100</xdr:rowOff>
    </xdr:from>
    <xdr:to>
      <xdr:col>4</xdr:col>
      <xdr:colOff>638175</xdr:colOff>
      <xdr:row>83</xdr:row>
      <xdr:rowOff>123825</xdr:rowOff>
    </xdr:to>
    <xdr:pic>
      <xdr:nvPicPr>
        <xdr:cNvPr id="157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32588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83</xdr:row>
      <xdr:rowOff>19050</xdr:rowOff>
    </xdr:from>
    <xdr:to>
      <xdr:col>5</xdr:col>
      <xdr:colOff>419100</xdr:colOff>
      <xdr:row>83</xdr:row>
      <xdr:rowOff>152400</xdr:rowOff>
    </xdr:to>
    <xdr:pic>
      <xdr:nvPicPr>
        <xdr:cNvPr id="158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32397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83</xdr:row>
      <xdr:rowOff>38100</xdr:rowOff>
    </xdr:from>
    <xdr:to>
      <xdr:col>5</xdr:col>
      <xdr:colOff>638175</xdr:colOff>
      <xdr:row>83</xdr:row>
      <xdr:rowOff>123825</xdr:rowOff>
    </xdr:to>
    <xdr:pic>
      <xdr:nvPicPr>
        <xdr:cNvPr id="159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32588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10</xdr:row>
      <xdr:rowOff>47625</xdr:rowOff>
    </xdr:from>
    <xdr:to>
      <xdr:col>4</xdr:col>
      <xdr:colOff>647700</xdr:colOff>
      <xdr:row>10</xdr:row>
      <xdr:rowOff>133350</xdr:rowOff>
    </xdr:to>
    <xdr:pic>
      <xdr:nvPicPr>
        <xdr:cNvPr id="160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4478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23</xdr:row>
      <xdr:rowOff>9525</xdr:rowOff>
    </xdr:from>
    <xdr:to>
      <xdr:col>4</xdr:col>
      <xdr:colOff>400050</xdr:colOff>
      <xdr:row>23</xdr:row>
      <xdr:rowOff>152400</xdr:rowOff>
    </xdr:to>
    <xdr:pic>
      <xdr:nvPicPr>
        <xdr:cNvPr id="161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5147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23</xdr:row>
      <xdr:rowOff>19050</xdr:rowOff>
    </xdr:from>
    <xdr:to>
      <xdr:col>5</xdr:col>
      <xdr:colOff>419100</xdr:colOff>
      <xdr:row>23</xdr:row>
      <xdr:rowOff>152400</xdr:rowOff>
    </xdr:to>
    <xdr:pic>
      <xdr:nvPicPr>
        <xdr:cNvPr id="162" name="Picture 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5242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31</xdr:row>
      <xdr:rowOff>19050</xdr:rowOff>
    </xdr:from>
    <xdr:to>
      <xdr:col>5</xdr:col>
      <xdr:colOff>419100</xdr:colOff>
      <xdr:row>31</xdr:row>
      <xdr:rowOff>152400</xdr:rowOff>
    </xdr:to>
    <xdr:pic>
      <xdr:nvPicPr>
        <xdr:cNvPr id="163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8196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31</xdr:row>
      <xdr:rowOff>9525</xdr:rowOff>
    </xdr:from>
    <xdr:to>
      <xdr:col>4</xdr:col>
      <xdr:colOff>400050</xdr:colOff>
      <xdr:row>31</xdr:row>
      <xdr:rowOff>152400</xdr:rowOff>
    </xdr:to>
    <xdr:pic>
      <xdr:nvPicPr>
        <xdr:cNvPr id="164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810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9525</xdr:rowOff>
    </xdr:from>
    <xdr:to>
      <xdr:col>4</xdr:col>
      <xdr:colOff>400050</xdr:colOff>
      <xdr:row>39</xdr:row>
      <xdr:rowOff>152400</xdr:rowOff>
    </xdr:to>
    <xdr:pic>
      <xdr:nvPicPr>
        <xdr:cNvPr id="165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1055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51</xdr:row>
      <xdr:rowOff>9525</xdr:rowOff>
    </xdr:from>
    <xdr:to>
      <xdr:col>4</xdr:col>
      <xdr:colOff>400050</xdr:colOff>
      <xdr:row>51</xdr:row>
      <xdr:rowOff>152400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0486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51</xdr:row>
      <xdr:rowOff>19050</xdr:rowOff>
    </xdr:from>
    <xdr:to>
      <xdr:col>5</xdr:col>
      <xdr:colOff>419100</xdr:colOff>
      <xdr:row>51</xdr:row>
      <xdr:rowOff>152400</xdr:rowOff>
    </xdr:to>
    <xdr:pic>
      <xdr:nvPicPr>
        <xdr:cNvPr id="167" name="Picture 1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0581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466725</xdr:colOff>
      <xdr:row>64</xdr:row>
      <xdr:rowOff>38100</xdr:rowOff>
    </xdr:from>
    <xdr:to>
      <xdr:col>4</xdr:col>
      <xdr:colOff>628650</xdr:colOff>
      <xdr:row>64</xdr:row>
      <xdr:rowOff>123825</xdr:rowOff>
    </xdr:to>
    <xdr:pic>
      <xdr:nvPicPr>
        <xdr:cNvPr id="168" name="image1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1822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80</xdr:row>
      <xdr:rowOff>9525</xdr:rowOff>
    </xdr:from>
    <xdr:to>
      <xdr:col>4</xdr:col>
      <xdr:colOff>400050</xdr:colOff>
      <xdr:row>80</xdr:row>
      <xdr:rowOff>152400</xdr:rowOff>
    </xdr:to>
    <xdr:pic>
      <xdr:nvPicPr>
        <xdr:cNvPr id="169" name="Picture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7444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60</xdr:row>
      <xdr:rowOff>19050</xdr:rowOff>
    </xdr:from>
    <xdr:to>
      <xdr:col>5</xdr:col>
      <xdr:colOff>419100</xdr:colOff>
      <xdr:row>60</xdr:row>
      <xdr:rowOff>152400</xdr:rowOff>
    </xdr:to>
    <xdr:pic>
      <xdr:nvPicPr>
        <xdr:cNvPr id="170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5154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50</xdr:row>
      <xdr:rowOff>9525</xdr:rowOff>
    </xdr:from>
    <xdr:to>
      <xdr:col>5</xdr:col>
      <xdr:colOff>419100</xdr:colOff>
      <xdr:row>50</xdr:row>
      <xdr:rowOff>142875</xdr:rowOff>
    </xdr:to>
    <xdr:pic>
      <xdr:nvPicPr>
        <xdr:cNvPr id="171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8867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63</xdr:row>
      <xdr:rowOff>19050</xdr:rowOff>
    </xdr:from>
    <xdr:to>
      <xdr:col>5</xdr:col>
      <xdr:colOff>419100</xdr:colOff>
      <xdr:row>63</xdr:row>
      <xdr:rowOff>152400</xdr:rowOff>
    </xdr:to>
    <xdr:pic>
      <xdr:nvPicPr>
        <xdr:cNvPr id="172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0012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62</xdr:row>
      <xdr:rowOff>28575</xdr:rowOff>
    </xdr:from>
    <xdr:to>
      <xdr:col>5</xdr:col>
      <xdr:colOff>419100</xdr:colOff>
      <xdr:row>62</xdr:row>
      <xdr:rowOff>161925</xdr:rowOff>
    </xdr:to>
    <xdr:pic>
      <xdr:nvPicPr>
        <xdr:cNvPr id="173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848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16</xdr:row>
      <xdr:rowOff>9525</xdr:rowOff>
    </xdr:from>
    <xdr:to>
      <xdr:col>5</xdr:col>
      <xdr:colOff>419100</xdr:colOff>
      <xdr:row>16</xdr:row>
      <xdr:rowOff>142875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3812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35</xdr:row>
      <xdr:rowOff>19050</xdr:rowOff>
    </xdr:from>
    <xdr:to>
      <xdr:col>4</xdr:col>
      <xdr:colOff>400050</xdr:colOff>
      <xdr:row>35</xdr:row>
      <xdr:rowOff>161925</xdr:rowOff>
    </xdr:to>
    <xdr:pic>
      <xdr:nvPicPr>
        <xdr:cNvPr id="175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467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35</xdr:row>
      <xdr:rowOff>28575</xdr:rowOff>
    </xdr:from>
    <xdr:to>
      <xdr:col>5</xdr:col>
      <xdr:colOff>419100</xdr:colOff>
      <xdr:row>35</xdr:row>
      <xdr:rowOff>161925</xdr:rowOff>
    </xdr:to>
    <xdr:pic>
      <xdr:nvPicPr>
        <xdr:cNvPr id="176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4768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38</xdr:row>
      <xdr:rowOff>133350</xdr:rowOff>
    </xdr:from>
    <xdr:to>
      <xdr:col>5</xdr:col>
      <xdr:colOff>419100</xdr:colOff>
      <xdr:row>39</xdr:row>
      <xdr:rowOff>104775</xdr:rowOff>
    </xdr:to>
    <xdr:pic>
      <xdr:nvPicPr>
        <xdr:cNvPr id="177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0674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69</xdr:row>
      <xdr:rowOff>9525</xdr:rowOff>
    </xdr:from>
    <xdr:to>
      <xdr:col>4</xdr:col>
      <xdr:colOff>400050</xdr:colOff>
      <xdr:row>69</xdr:row>
      <xdr:rowOff>152400</xdr:rowOff>
    </xdr:to>
    <xdr:pic>
      <xdr:nvPicPr>
        <xdr:cNvPr id="178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9632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69</xdr:row>
      <xdr:rowOff>19050</xdr:rowOff>
    </xdr:from>
    <xdr:to>
      <xdr:col>5</xdr:col>
      <xdr:colOff>419100</xdr:colOff>
      <xdr:row>69</xdr:row>
      <xdr:rowOff>152400</xdr:rowOff>
    </xdr:to>
    <xdr:pic>
      <xdr:nvPicPr>
        <xdr:cNvPr id="179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9728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70</xdr:row>
      <xdr:rowOff>9525</xdr:rowOff>
    </xdr:from>
    <xdr:to>
      <xdr:col>4</xdr:col>
      <xdr:colOff>400050</xdr:colOff>
      <xdr:row>70</xdr:row>
      <xdr:rowOff>152400</xdr:rowOff>
    </xdr:to>
    <xdr:pic>
      <xdr:nvPicPr>
        <xdr:cNvPr id="180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1252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70</xdr:row>
      <xdr:rowOff>19050</xdr:rowOff>
    </xdr:from>
    <xdr:to>
      <xdr:col>5</xdr:col>
      <xdr:colOff>419100</xdr:colOff>
      <xdr:row>70</xdr:row>
      <xdr:rowOff>152400</xdr:rowOff>
    </xdr:to>
    <xdr:pic>
      <xdr:nvPicPr>
        <xdr:cNvPr id="181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1347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84</xdr:row>
      <xdr:rowOff>9525</xdr:rowOff>
    </xdr:from>
    <xdr:to>
      <xdr:col>4</xdr:col>
      <xdr:colOff>400050</xdr:colOff>
      <xdr:row>84</xdr:row>
      <xdr:rowOff>152400</xdr:rowOff>
    </xdr:to>
    <xdr:pic>
      <xdr:nvPicPr>
        <xdr:cNvPr id="182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3921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19050</xdr:rowOff>
    </xdr:from>
    <xdr:to>
      <xdr:col>7</xdr:col>
      <xdr:colOff>0</xdr:colOff>
      <xdr:row>5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3404"/>
        <a:stretch>
          <a:fillRect/>
        </a:stretch>
      </xdr:blipFill>
      <xdr:spPr>
        <a:xfrm>
          <a:off x="8791575" y="342900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2</xdr:row>
      <xdr:rowOff>228600</xdr:rowOff>
    </xdr:from>
    <xdr:to>
      <xdr:col>5</xdr:col>
      <xdr:colOff>1304925</xdr:colOff>
      <xdr:row>4</xdr:row>
      <xdr:rowOff>180975</xdr:rowOff>
    </xdr:to>
    <xdr:pic>
      <xdr:nvPicPr>
        <xdr:cNvPr id="2" name="Изображения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552450"/>
          <a:ext cx="2476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19050</xdr:rowOff>
    </xdr:from>
    <xdr:to>
      <xdr:col>2</xdr:col>
      <xdr:colOff>381000</xdr:colOff>
      <xdr:row>7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771650"/>
          <a:ext cx="695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7</xdr:row>
      <xdr:rowOff>28575</xdr:rowOff>
    </xdr:from>
    <xdr:to>
      <xdr:col>4</xdr:col>
      <xdr:colOff>314325</xdr:colOff>
      <xdr:row>7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781175"/>
          <a:ext cx="7334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457200</xdr:colOff>
      <xdr:row>7</xdr:row>
      <xdr:rowOff>28575</xdr:rowOff>
    </xdr:from>
    <xdr:to>
      <xdr:col>6</xdr:col>
      <xdr:colOff>419100</xdr:colOff>
      <xdr:row>7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781175"/>
          <a:ext cx="771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333375</xdr:colOff>
      <xdr:row>7</xdr:row>
      <xdr:rowOff>66675</xdr:rowOff>
    </xdr:from>
    <xdr:to>
      <xdr:col>8</xdr:col>
      <xdr:colOff>419100</xdr:colOff>
      <xdr:row>7</xdr:row>
      <xdr:rowOff>571500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819275"/>
          <a:ext cx="895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190500</xdr:colOff>
      <xdr:row>2</xdr:row>
      <xdr:rowOff>76200</xdr:rowOff>
    </xdr:from>
    <xdr:to>
      <xdr:col>9</xdr:col>
      <xdr:colOff>342900</xdr:colOff>
      <xdr:row>3</xdr:row>
      <xdr:rowOff>142875</xdr:rowOff>
    </xdr:to>
    <xdr:pic>
      <xdr:nvPicPr>
        <xdr:cNvPr id="5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419100"/>
          <a:ext cx="25812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447675</xdr:colOff>
      <xdr:row>52</xdr:row>
      <xdr:rowOff>9525</xdr:rowOff>
    </xdr:from>
    <xdr:to>
      <xdr:col>7</xdr:col>
      <xdr:colOff>742950</xdr:colOff>
      <xdr:row>52</xdr:row>
      <xdr:rowOff>361950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10153650"/>
          <a:ext cx="295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342900</xdr:colOff>
      <xdr:row>7</xdr:row>
      <xdr:rowOff>47625</xdr:rowOff>
    </xdr:from>
    <xdr:to>
      <xdr:col>10</xdr:col>
      <xdr:colOff>371475</xdr:colOff>
      <xdr:row>7</xdr:row>
      <xdr:rowOff>561975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86775" y="1800225"/>
          <a:ext cx="838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7</xdr:row>
      <xdr:rowOff>19050</xdr:rowOff>
    </xdr:from>
    <xdr:to>
      <xdr:col>11</xdr:col>
      <xdr:colOff>1066800</xdr:colOff>
      <xdr:row>7</xdr:row>
      <xdr:rowOff>514350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15550" y="1771650"/>
          <a:ext cx="7143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1066800</xdr:colOff>
      <xdr:row>27</xdr:row>
      <xdr:rowOff>38100</xdr:rowOff>
    </xdr:from>
    <xdr:to>
      <xdr:col>0</xdr:col>
      <xdr:colOff>1323975</xdr:colOff>
      <xdr:row>28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5924550"/>
          <a:ext cx="2667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66</xdr:row>
      <xdr:rowOff>0</xdr:rowOff>
    </xdr:from>
    <xdr:to>
      <xdr:col>0</xdr:col>
      <xdr:colOff>466725</xdr:colOff>
      <xdr:row>67</xdr:row>
      <xdr:rowOff>19050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8299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352425</xdr:colOff>
      <xdr:row>66</xdr:row>
      <xdr:rowOff>9525</xdr:rowOff>
    </xdr:from>
    <xdr:to>
      <xdr:col>2</xdr:col>
      <xdr:colOff>533400</xdr:colOff>
      <xdr:row>66</xdr:row>
      <xdr:rowOff>161925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0839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66</xdr:row>
      <xdr:rowOff>0</xdr:rowOff>
    </xdr:from>
    <xdr:to>
      <xdr:col>3</xdr:col>
      <xdr:colOff>409575</xdr:colOff>
      <xdr:row>67</xdr:row>
      <xdr:rowOff>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0829925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66</xdr:row>
      <xdr:rowOff>9525</xdr:rowOff>
    </xdr:from>
    <xdr:to>
      <xdr:col>4</xdr:col>
      <xdr:colOff>419100</xdr:colOff>
      <xdr:row>66</xdr:row>
      <xdr:rowOff>161925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10839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69</xdr:row>
      <xdr:rowOff>0</xdr:rowOff>
    </xdr:from>
    <xdr:to>
      <xdr:col>0</xdr:col>
      <xdr:colOff>428625</xdr:colOff>
      <xdr:row>69</xdr:row>
      <xdr:rowOff>142875</xdr:rowOff>
    </xdr:to>
    <xdr:pic>
      <xdr:nvPicPr>
        <xdr:cNvPr id="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13157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10</xdr:row>
      <xdr:rowOff>0</xdr:rowOff>
    </xdr:from>
    <xdr:to>
      <xdr:col>3</xdr:col>
      <xdr:colOff>457200</xdr:colOff>
      <xdr:row>11</xdr:row>
      <xdr:rowOff>19050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17621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11</xdr:row>
      <xdr:rowOff>0</xdr:rowOff>
    </xdr:from>
    <xdr:to>
      <xdr:col>3</xdr:col>
      <xdr:colOff>457200</xdr:colOff>
      <xdr:row>12</xdr:row>
      <xdr:rowOff>19050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9240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</xdr:row>
      <xdr:rowOff>0</xdr:rowOff>
    </xdr:from>
    <xdr:to>
      <xdr:col>3</xdr:col>
      <xdr:colOff>457200</xdr:colOff>
      <xdr:row>6</xdr:row>
      <xdr:rowOff>9525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9429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457200</xdr:colOff>
      <xdr:row>10</xdr:row>
      <xdr:rowOff>19050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6002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12</xdr:row>
      <xdr:rowOff>0</xdr:rowOff>
    </xdr:from>
    <xdr:to>
      <xdr:col>3</xdr:col>
      <xdr:colOff>457200</xdr:colOff>
      <xdr:row>13</xdr:row>
      <xdr:rowOff>9525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0859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457200</xdr:colOff>
      <xdr:row>14</xdr:row>
      <xdr:rowOff>19050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247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13</xdr:row>
      <xdr:rowOff>0</xdr:rowOff>
    </xdr:from>
    <xdr:to>
      <xdr:col>3</xdr:col>
      <xdr:colOff>457200</xdr:colOff>
      <xdr:row>14</xdr:row>
      <xdr:rowOff>9525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2479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7</xdr:row>
      <xdr:rowOff>0</xdr:rowOff>
    </xdr:from>
    <xdr:to>
      <xdr:col>3</xdr:col>
      <xdr:colOff>457200</xdr:colOff>
      <xdr:row>8</xdr:row>
      <xdr:rowOff>19050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2763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457200</xdr:colOff>
      <xdr:row>9</xdr:row>
      <xdr:rowOff>19050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438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457200</xdr:colOff>
      <xdr:row>9</xdr:row>
      <xdr:rowOff>19050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438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457200</xdr:colOff>
      <xdr:row>17</xdr:row>
      <xdr:rowOff>19050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7336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457200</xdr:colOff>
      <xdr:row>18</xdr:row>
      <xdr:rowOff>19050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8956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18</xdr:row>
      <xdr:rowOff>0</xdr:rowOff>
    </xdr:from>
    <xdr:to>
      <xdr:col>3</xdr:col>
      <xdr:colOff>457200</xdr:colOff>
      <xdr:row>19</xdr:row>
      <xdr:rowOff>9525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30575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20</xdr:row>
      <xdr:rowOff>0</xdr:rowOff>
    </xdr:from>
    <xdr:to>
      <xdr:col>3</xdr:col>
      <xdr:colOff>457200</xdr:colOff>
      <xdr:row>21</xdr:row>
      <xdr:rowOff>19050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3813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22</xdr:row>
      <xdr:rowOff>0</xdr:rowOff>
    </xdr:from>
    <xdr:to>
      <xdr:col>3</xdr:col>
      <xdr:colOff>457200</xdr:colOff>
      <xdr:row>23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705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22</xdr:row>
      <xdr:rowOff>0</xdr:rowOff>
    </xdr:from>
    <xdr:to>
      <xdr:col>3</xdr:col>
      <xdr:colOff>457200</xdr:colOff>
      <xdr:row>23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705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457200</xdr:colOff>
      <xdr:row>24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8671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24</xdr:row>
      <xdr:rowOff>0</xdr:rowOff>
    </xdr:from>
    <xdr:to>
      <xdr:col>3</xdr:col>
      <xdr:colOff>457200</xdr:colOff>
      <xdr:row>25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0290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25</xdr:row>
      <xdr:rowOff>0</xdr:rowOff>
    </xdr:from>
    <xdr:to>
      <xdr:col>3</xdr:col>
      <xdr:colOff>457200</xdr:colOff>
      <xdr:row>26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1910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26</xdr:row>
      <xdr:rowOff>0</xdr:rowOff>
    </xdr:from>
    <xdr:to>
      <xdr:col>3</xdr:col>
      <xdr:colOff>457200</xdr:colOff>
      <xdr:row>27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3529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27</xdr:row>
      <xdr:rowOff>0</xdr:rowOff>
    </xdr:from>
    <xdr:to>
      <xdr:col>3</xdr:col>
      <xdr:colOff>457200</xdr:colOff>
      <xdr:row>28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5148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36</xdr:row>
      <xdr:rowOff>9525</xdr:rowOff>
    </xdr:from>
    <xdr:to>
      <xdr:col>4</xdr:col>
      <xdr:colOff>438150</xdr:colOff>
      <xdr:row>36</xdr:row>
      <xdr:rowOff>161925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5981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457200</xdr:colOff>
      <xdr:row>30</xdr:row>
      <xdr:rowOff>19050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8387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30</xdr:row>
      <xdr:rowOff>0</xdr:rowOff>
    </xdr:from>
    <xdr:to>
      <xdr:col>3</xdr:col>
      <xdr:colOff>457200</xdr:colOff>
      <xdr:row>31</xdr:row>
      <xdr:rowOff>19050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0006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32</xdr:row>
      <xdr:rowOff>0</xdr:rowOff>
    </xdr:from>
    <xdr:to>
      <xdr:col>3</xdr:col>
      <xdr:colOff>457200</xdr:colOff>
      <xdr:row>33</xdr:row>
      <xdr:rowOff>19050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3244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19</xdr:row>
      <xdr:rowOff>0</xdr:rowOff>
    </xdr:from>
    <xdr:to>
      <xdr:col>3</xdr:col>
      <xdr:colOff>457200</xdr:colOff>
      <xdr:row>20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2194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34</xdr:row>
      <xdr:rowOff>0</xdr:rowOff>
    </xdr:from>
    <xdr:to>
      <xdr:col>3</xdr:col>
      <xdr:colOff>457200</xdr:colOff>
      <xdr:row>35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6483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35</xdr:row>
      <xdr:rowOff>0</xdr:rowOff>
    </xdr:from>
    <xdr:to>
      <xdr:col>3</xdr:col>
      <xdr:colOff>457200</xdr:colOff>
      <xdr:row>36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810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37</xdr:row>
      <xdr:rowOff>0</xdr:rowOff>
    </xdr:from>
    <xdr:to>
      <xdr:col>3</xdr:col>
      <xdr:colOff>457200</xdr:colOff>
      <xdr:row>38</xdr:row>
      <xdr:rowOff>19050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1341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39</xdr:row>
      <xdr:rowOff>0</xdr:rowOff>
    </xdr:from>
    <xdr:to>
      <xdr:col>3</xdr:col>
      <xdr:colOff>457200</xdr:colOff>
      <xdr:row>40</xdr:row>
      <xdr:rowOff>19050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457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46</xdr:row>
      <xdr:rowOff>152400</xdr:rowOff>
    </xdr:from>
    <xdr:to>
      <xdr:col>3</xdr:col>
      <xdr:colOff>419100</xdr:colOff>
      <xdr:row>48</xdr:row>
      <xdr:rowOff>0</xdr:rowOff>
    </xdr:to>
    <xdr:pic>
      <xdr:nvPicPr>
        <xdr:cNvPr id="36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90725" y="77438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21</xdr:row>
      <xdr:rowOff>0</xdr:rowOff>
    </xdr:from>
    <xdr:to>
      <xdr:col>3</xdr:col>
      <xdr:colOff>457200</xdr:colOff>
      <xdr:row>22</xdr:row>
      <xdr:rowOff>19050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543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285750</xdr:colOff>
      <xdr:row>41</xdr:row>
      <xdr:rowOff>19050</xdr:rowOff>
    </xdr:from>
    <xdr:to>
      <xdr:col>4</xdr:col>
      <xdr:colOff>457200</xdr:colOff>
      <xdr:row>42</xdr:row>
      <xdr:rowOff>9525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6800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49</xdr:row>
      <xdr:rowOff>9525</xdr:rowOff>
    </xdr:from>
    <xdr:to>
      <xdr:col>4</xdr:col>
      <xdr:colOff>438150</xdr:colOff>
      <xdr:row>49</xdr:row>
      <xdr:rowOff>161925</xdr:rowOff>
    </xdr:to>
    <xdr:pic>
      <xdr:nvPicPr>
        <xdr:cNvPr id="39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086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50</xdr:row>
      <xdr:rowOff>9525</xdr:rowOff>
    </xdr:from>
    <xdr:to>
      <xdr:col>4</xdr:col>
      <xdr:colOff>438150</xdr:colOff>
      <xdr:row>50</xdr:row>
      <xdr:rowOff>161925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248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52</xdr:row>
      <xdr:rowOff>0</xdr:rowOff>
    </xdr:from>
    <xdr:to>
      <xdr:col>3</xdr:col>
      <xdr:colOff>457200</xdr:colOff>
      <xdr:row>53</xdr:row>
      <xdr:rowOff>19050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5629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53</xdr:row>
      <xdr:rowOff>0</xdr:rowOff>
    </xdr:from>
    <xdr:to>
      <xdr:col>3</xdr:col>
      <xdr:colOff>457200</xdr:colOff>
      <xdr:row>54</xdr:row>
      <xdr:rowOff>19050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724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54</xdr:row>
      <xdr:rowOff>9525</xdr:rowOff>
    </xdr:from>
    <xdr:to>
      <xdr:col>4</xdr:col>
      <xdr:colOff>438150</xdr:colOff>
      <xdr:row>54</xdr:row>
      <xdr:rowOff>161925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896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55</xdr:row>
      <xdr:rowOff>9525</xdr:rowOff>
    </xdr:from>
    <xdr:to>
      <xdr:col>4</xdr:col>
      <xdr:colOff>438150</xdr:colOff>
      <xdr:row>55</xdr:row>
      <xdr:rowOff>161925</xdr:rowOff>
    </xdr:to>
    <xdr:pic>
      <xdr:nvPicPr>
        <xdr:cNvPr id="4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90582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56</xdr:row>
      <xdr:rowOff>9525</xdr:rowOff>
    </xdr:from>
    <xdr:to>
      <xdr:col>4</xdr:col>
      <xdr:colOff>438150</xdr:colOff>
      <xdr:row>56</xdr:row>
      <xdr:rowOff>161925</xdr:rowOff>
    </xdr:to>
    <xdr:pic>
      <xdr:nvPicPr>
        <xdr:cNvPr id="45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9220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46</xdr:row>
      <xdr:rowOff>9525</xdr:rowOff>
    </xdr:from>
    <xdr:to>
      <xdr:col>4</xdr:col>
      <xdr:colOff>438150</xdr:colOff>
      <xdr:row>46</xdr:row>
      <xdr:rowOff>161925</xdr:rowOff>
    </xdr:to>
    <xdr:pic>
      <xdr:nvPicPr>
        <xdr:cNvPr id="46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76009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60</xdr:row>
      <xdr:rowOff>9525</xdr:rowOff>
    </xdr:from>
    <xdr:to>
      <xdr:col>4</xdr:col>
      <xdr:colOff>438150</xdr:colOff>
      <xdr:row>60</xdr:row>
      <xdr:rowOff>161925</xdr:rowOff>
    </xdr:to>
    <xdr:pic>
      <xdr:nvPicPr>
        <xdr:cNvPr id="47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9867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61</xdr:row>
      <xdr:rowOff>9525</xdr:rowOff>
    </xdr:from>
    <xdr:to>
      <xdr:col>4</xdr:col>
      <xdr:colOff>438150</xdr:colOff>
      <xdr:row>61</xdr:row>
      <xdr:rowOff>161925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100298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8</xdr:row>
      <xdr:rowOff>19050</xdr:rowOff>
    </xdr:from>
    <xdr:to>
      <xdr:col>5</xdr:col>
      <xdr:colOff>457200</xdr:colOff>
      <xdr:row>8</xdr:row>
      <xdr:rowOff>152400</xdr:rowOff>
    </xdr:to>
    <xdr:pic>
      <xdr:nvPicPr>
        <xdr:cNvPr id="49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14573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25</xdr:row>
      <xdr:rowOff>19050</xdr:rowOff>
    </xdr:from>
    <xdr:to>
      <xdr:col>5</xdr:col>
      <xdr:colOff>457200</xdr:colOff>
      <xdr:row>25</xdr:row>
      <xdr:rowOff>161925</xdr:rowOff>
    </xdr:to>
    <xdr:pic>
      <xdr:nvPicPr>
        <xdr:cNvPr id="50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42100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26</xdr:row>
      <xdr:rowOff>19050</xdr:rowOff>
    </xdr:from>
    <xdr:to>
      <xdr:col>5</xdr:col>
      <xdr:colOff>457200</xdr:colOff>
      <xdr:row>26</xdr:row>
      <xdr:rowOff>161925</xdr:rowOff>
    </xdr:to>
    <xdr:pic>
      <xdr:nvPicPr>
        <xdr:cNvPr id="51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43719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30</xdr:row>
      <xdr:rowOff>19050</xdr:rowOff>
    </xdr:from>
    <xdr:to>
      <xdr:col>5</xdr:col>
      <xdr:colOff>457200</xdr:colOff>
      <xdr:row>30</xdr:row>
      <xdr:rowOff>161925</xdr:rowOff>
    </xdr:to>
    <xdr:pic>
      <xdr:nvPicPr>
        <xdr:cNvPr id="52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50196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34</xdr:row>
      <xdr:rowOff>19050</xdr:rowOff>
    </xdr:from>
    <xdr:to>
      <xdr:col>5</xdr:col>
      <xdr:colOff>457200</xdr:colOff>
      <xdr:row>34</xdr:row>
      <xdr:rowOff>161925</xdr:rowOff>
    </xdr:to>
    <xdr:pic>
      <xdr:nvPicPr>
        <xdr:cNvPr id="53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56673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33</xdr:row>
      <xdr:rowOff>19050</xdr:rowOff>
    </xdr:from>
    <xdr:to>
      <xdr:col>5</xdr:col>
      <xdr:colOff>457200</xdr:colOff>
      <xdr:row>33</xdr:row>
      <xdr:rowOff>161925</xdr:rowOff>
    </xdr:to>
    <xdr:pic>
      <xdr:nvPicPr>
        <xdr:cNvPr id="54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55054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19050</xdr:rowOff>
    </xdr:from>
    <xdr:to>
      <xdr:col>5</xdr:col>
      <xdr:colOff>457200</xdr:colOff>
      <xdr:row>23</xdr:row>
      <xdr:rowOff>161925</xdr:rowOff>
    </xdr:to>
    <xdr:pic>
      <xdr:nvPicPr>
        <xdr:cNvPr id="55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38862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35</xdr:row>
      <xdr:rowOff>19050</xdr:rowOff>
    </xdr:from>
    <xdr:to>
      <xdr:col>5</xdr:col>
      <xdr:colOff>457200</xdr:colOff>
      <xdr:row>35</xdr:row>
      <xdr:rowOff>161925</xdr:rowOff>
    </xdr:to>
    <xdr:pic>
      <xdr:nvPicPr>
        <xdr:cNvPr id="56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58293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19</xdr:row>
      <xdr:rowOff>19050</xdr:rowOff>
    </xdr:from>
    <xdr:to>
      <xdr:col>5</xdr:col>
      <xdr:colOff>457200</xdr:colOff>
      <xdr:row>19</xdr:row>
      <xdr:rowOff>161925</xdr:rowOff>
    </xdr:to>
    <xdr:pic>
      <xdr:nvPicPr>
        <xdr:cNvPr id="57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32385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</xdr:row>
      <xdr:rowOff>152400</xdr:rowOff>
    </xdr:from>
    <xdr:to>
      <xdr:col>3</xdr:col>
      <xdr:colOff>457200</xdr:colOff>
      <xdr:row>5</xdr:row>
      <xdr:rowOff>9525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7715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</xdr:row>
      <xdr:rowOff>0</xdr:rowOff>
    </xdr:from>
    <xdr:to>
      <xdr:col>3</xdr:col>
      <xdr:colOff>457200</xdr:colOff>
      <xdr:row>6</xdr:row>
      <xdr:rowOff>9525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9429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457200</xdr:colOff>
      <xdr:row>7</xdr:row>
      <xdr:rowOff>19050</xdr:rowOff>
    </xdr:to>
    <xdr:pic>
      <xdr:nvPicPr>
        <xdr:cNvPr id="6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10490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6</xdr:row>
      <xdr:rowOff>9525</xdr:rowOff>
    </xdr:from>
    <xdr:to>
      <xdr:col>5</xdr:col>
      <xdr:colOff>457200</xdr:colOff>
      <xdr:row>6</xdr:row>
      <xdr:rowOff>152400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11144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7</xdr:row>
      <xdr:rowOff>0</xdr:rowOff>
    </xdr:from>
    <xdr:to>
      <xdr:col>3</xdr:col>
      <xdr:colOff>457200</xdr:colOff>
      <xdr:row>8</xdr:row>
      <xdr:rowOff>19050</xdr:rowOff>
    </xdr:to>
    <xdr:pic>
      <xdr:nvPicPr>
        <xdr:cNvPr id="6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2763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10</xdr:row>
      <xdr:rowOff>19050</xdr:rowOff>
    </xdr:from>
    <xdr:to>
      <xdr:col>5</xdr:col>
      <xdr:colOff>466725</xdr:colOff>
      <xdr:row>10</xdr:row>
      <xdr:rowOff>161925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17811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14</xdr:row>
      <xdr:rowOff>9525</xdr:rowOff>
    </xdr:from>
    <xdr:to>
      <xdr:col>3</xdr:col>
      <xdr:colOff>466725</xdr:colOff>
      <xdr:row>15</xdr:row>
      <xdr:rowOff>28575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4193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15</xdr:row>
      <xdr:rowOff>0</xdr:rowOff>
    </xdr:from>
    <xdr:to>
      <xdr:col>3</xdr:col>
      <xdr:colOff>466725</xdr:colOff>
      <xdr:row>16</xdr:row>
      <xdr:rowOff>19050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5717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16</xdr:row>
      <xdr:rowOff>19050</xdr:rowOff>
    </xdr:from>
    <xdr:to>
      <xdr:col>5</xdr:col>
      <xdr:colOff>457200</xdr:colOff>
      <xdr:row>16</xdr:row>
      <xdr:rowOff>161925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27527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27</xdr:row>
      <xdr:rowOff>19050</xdr:rowOff>
    </xdr:from>
    <xdr:to>
      <xdr:col>5</xdr:col>
      <xdr:colOff>466725</xdr:colOff>
      <xdr:row>27</xdr:row>
      <xdr:rowOff>161925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45339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27</xdr:row>
      <xdr:rowOff>0</xdr:rowOff>
    </xdr:from>
    <xdr:to>
      <xdr:col>3</xdr:col>
      <xdr:colOff>457200</xdr:colOff>
      <xdr:row>28</xdr:row>
      <xdr:rowOff>19050</xdr:rowOff>
    </xdr:to>
    <xdr:pic>
      <xdr:nvPicPr>
        <xdr:cNvPr id="6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5148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457200</xdr:colOff>
      <xdr:row>29</xdr:row>
      <xdr:rowOff>19050</xdr:rowOff>
    </xdr:to>
    <xdr:pic>
      <xdr:nvPicPr>
        <xdr:cNvPr id="6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6767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28</xdr:row>
      <xdr:rowOff>19050</xdr:rowOff>
    </xdr:from>
    <xdr:to>
      <xdr:col>5</xdr:col>
      <xdr:colOff>466725</xdr:colOff>
      <xdr:row>28</xdr:row>
      <xdr:rowOff>161925</xdr:rowOff>
    </xdr:to>
    <xdr:pic>
      <xdr:nvPicPr>
        <xdr:cNvPr id="70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46958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29</xdr:row>
      <xdr:rowOff>19050</xdr:rowOff>
    </xdr:from>
    <xdr:to>
      <xdr:col>5</xdr:col>
      <xdr:colOff>466725</xdr:colOff>
      <xdr:row>29</xdr:row>
      <xdr:rowOff>161925</xdr:rowOff>
    </xdr:to>
    <xdr:pic>
      <xdr:nvPicPr>
        <xdr:cNvPr id="71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48577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33</xdr:row>
      <xdr:rowOff>9525</xdr:rowOff>
    </xdr:from>
    <xdr:to>
      <xdr:col>3</xdr:col>
      <xdr:colOff>457200</xdr:colOff>
      <xdr:row>34</xdr:row>
      <xdr:rowOff>28575</xdr:rowOff>
    </xdr:to>
    <xdr:pic>
      <xdr:nvPicPr>
        <xdr:cNvPr id="7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4959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238125</xdr:colOff>
      <xdr:row>37</xdr:row>
      <xdr:rowOff>0</xdr:rowOff>
    </xdr:from>
    <xdr:to>
      <xdr:col>5</xdr:col>
      <xdr:colOff>438150</xdr:colOff>
      <xdr:row>37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62325" y="61341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38</xdr:row>
      <xdr:rowOff>9525</xdr:rowOff>
    </xdr:from>
    <xdr:to>
      <xdr:col>3</xdr:col>
      <xdr:colOff>457200</xdr:colOff>
      <xdr:row>39</xdr:row>
      <xdr:rowOff>28575</xdr:rowOff>
    </xdr:to>
    <xdr:pic>
      <xdr:nvPicPr>
        <xdr:cNvPr id="7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3055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40</xdr:row>
      <xdr:rowOff>9525</xdr:rowOff>
    </xdr:from>
    <xdr:to>
      <xdr:col>3</xdr:col>
      <xdr:colOff>457200</xdr:colOff>
      <xdr:row>41</xdr:row>
      <xdr:rowOff>28575</xdr:rowOff>
    </xdr:to>
    <xdr:pic>
      <xdr:nvPicPr>
        <xdr:cNvPr id="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6294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276225</xdr:colOff>
      <xdr:row>41</xdr:row>
      <xdr:rowOff>133350</xdr:rowOff>
    </xdr:from>
    <xdr:to>
      <xdr:col>3</xdr:col>
      <xdr:colOff>466725</xdr:colOff>
      <xdr:row>42</xdr:row>
      <xdr:rowOff>142875</xdr:rowOff>
    </xdr:to>
    <xdr:pic>
      <xdr:nvPicPr>
        <xdr:cNvPr id="7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9151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31</xdr:row>
      <xdr:rowOff>9525</xdr:rowOff>
    </xdr:from>
    <xdr:to>
      <xdr:col>3</xdr:col>
      <xdr:colOff>438150</xdr:colOff>
      <xdr:row>32</xdr:row>
      <xdr:rowOff>19050</xdr:rowOff>
    </xdr:to>
    <xdr:pic>
      <xdr:nvPicPr>
        <xdr:cNvPr id="77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51720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59</xdr:row>
      <xdr:rowOff>9525</xdr:rowOff>
    </xdr:from>
    <xdr:to>
      <xdr:col>4</xdr:col>
      <xdr:colOff>438150</xdr:colOff>
      <xdr:row>59</xdr:row>
      <xdr:rowOff>161925</xdr:rowOff>
    </xdr:to>
    <xdr:pic>
      <xdr:nvPicPr>
        <xdr:cNvPr id="78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9705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285750</xdr:colOff>
      <xdr:row>58</xdr:row>
      <xdr:rowOff>9525</xdr:rowOff>
    </xdr:from>
    <xdr:to>
      <xdr:col>4</xdr:col>
      <xdr:colOff>457200</xdr:colOff>
      <xdr:row>58</xdr:row>
      <xdr:rowOff>161925</xdr:rowOff>
    </xdr:to>
    <xdr:pic>
      <xdr:nvPicPr>
        <xdr:cNvPr id="79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9544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57</xdr:row>
      <xdr:rowOff>0</xdr:rowOff>
    </xdr:from>
    <xdr:to>
      <xdr:col>4</xdr:col>
      <xdr:colOff>438150</xdr:colOff>
      <xdr:row>57</xdr:row>
      <xdr:rowOff>152400</xdr:rowOff>
    </xdr:to>
    <xdr:pic>
      <xdr:nvPicPr>
        <xdr:cNvPr id="80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9372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42</xdr:row>
      <xdr:rowOff>142875</xdr:rowOff>
    </xdr:from>
    <xdr:to>
      <xdr:col>3</xdr:col>
      <xdr:colOff>466725</xdr:colOff>
      <xdr:row>44</xdr:row>
      <xdr:rowOff>0</xdr:rowOff>
    </xdr:to>
    <xdr:pic>
      <xdr:nvPicPr>
        <xdr:cNvPr id="8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0866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44</xdr:row>
      <xdr:rowOff>152400</xdr:rowOff>
    </xdr:from>
    <xdr:to>
      <xdr:col>3</xdr:col>
      <xdr:colOff>457200</xdr:colOff>
      <xdr:row>46</xdr:row>
      <xdr:rowOff>9525</xdr:rowOff>
    </xdr:to>
    <xdr:pic>
      <xdr:nvPicPr>
        <xdr:cNvPr id="8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74199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43</xdr:row>
      <xdr:rowOff>142875</xdr:rowOff>
    </xdr:from>
    <xdr:to>
      <xdr:col>3</xdr:col>
      <xdr:colOff>438150</xdr:colOff>
      <xdr:row>44</xdr:row>
      <xdr:rowOff>152400</xdr:rowOff>
    </xdr:to>
    <xdr:pic>
      <xdr:nvPicPr>
        <xdr:cNvPr id="83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72485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4</xdr:row>
      <xdr:rowOff>19050</xdr:rowOff>
    </xdr:from>
    <xdr:to>
      <xdr:col>5</xdr:col>
      <xdr:colOff>457200</xdr:colOff>
      <xdr:row>4</xdr:row>
      <xdr:rowOff>161925</xdr:rowOff>
    </xdr:to>
    <xdr:pic>
      <xdr:nvPicPr>
        <xdr:cNvPr id="84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8001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17</xdr:row>
      <xdr:rowOff>19050</xdr:rowOff>
    </xdr:from>
    <xdr:to>
      <xdr:col>5</xdr:col>
      <xdr:colOff>457200</xdr:colOff>
      <xdr:row>17</xdr:row>
      <xdr:rowOff>161925</xdr:rowOff>
    </xdr:to>
    <xdr:pic>
      <xdr:nvPicPr>
        <xdr:cNvPr id="85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29146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47</xdr:row>
      <xdr:rowOff>152400</xdr:rowOff>
    </xdr:from>
    <xdr:to>
      <xdr:col>3</xdr:col>
      <xdr:colOff>428625</xdr:colOff>
      <xdr:row>49</xdr:row>
      <xdr:rowOff>0</xdr:rowOff>
    </xdr:to>
    <xdr:pic>
      <xdr:nvPicPr>
        <xdr:cNvPr id="86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79057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50</xdr:row>
      <xdr:rowOff>133350</xdr:rowOff>
    </xdr:from>
    <xdr:to>
      <xdr:col>3</xdr:col>
      <xdr:colOff>447675</xdr:colOff>
      <xdr:row>51</xdr:row>
      <xdr:rowOff>152400</xdr:rowOff>
    </xdr:to>
    <xdr:pic>
      <xdr:nvPicPr>
        <xdr:cNvPr id="8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724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54</xdr:row>
      <xdr:rowOff>0</xdr:rowOff>
    </xdr:from>
    <xdr:to>
      <xdr:col>0</xdr:col>
      <xdr:colOff>457200</xdr:colOff>
      <xdr:row>55</xdr:row>
      <xdr:rowOff>19050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8677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54</xdr:row>
      <xdr:rowOff>0</xdr:rowOff>
    </xdr:from>
    <xdr:to>
      <xdr:col>1</xdr:col>
      <xdr:colOff>390525</xdr:colOff>
      <xdr:row>54</xdr:row>
      <xdr:rowOff>152400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8677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54</xdr:row>
      <xdr:rowOff>0</xdr:rowOff>
    </xdr:from>
    <xdr:to>
      <xdr:col>2</xdr:col>
      <xdr:colOff>409575</xdr:colOff>
      <xdr:row>55</xdr:row>
      <xdr:rowOff>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8867775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54</xdr:row>
      <xdr:rowOff>9525</xdr:rowOff>
    </xdr:from>
    <xdr:to>
      <xdr:col>3</xdr:col>
      <xdr:colOff>428625</xdr:colOff>
      <xdr:row>54</xdr:row>
      <xdr:rowOff>161925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8877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57</xdr:row>
      <xdr:rowOff>0</xdr:rowOff>
    </xdr:from>
    <xdr:to>
      <xdr:col>0</xdr:col>
      <xdr:colOff>438150</xdr:colOff>
      <xdr:row>57</xdr:row>
      <xdr:rowOff>142875</xdr:rowOff>
    </xdr:to>
    <xdr:pic>
      <xdr:nvPicPr>
        <xdr:cNvPr id="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93535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6</xdr:row>
      <xdr:rowOff>9525</xdr:rowOff>
    </xdr:from>
    <xdr:to>
      <xdr:col>2</xdr:col>
      <xdr:colOff>438150</xdr:colOff>
      <xdr:row>7</xdr:row>
      <xdr:rowOff>76200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009650"/>
          <a:ext cx="190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0</xdr:rowOff>
    </xdr:from>
    <xdr:to>
      <xdr:col>2</xdr:col>
      <xdr:colOff>457200</xdr:colOff>
      <xdr:row>8</xdr:row>
      <xdr:rowOff>66675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1620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0</xdr:rowOff>
    </xdr:from>
    <xdr:to>
      <xdr:col>2</xdr:col>
      <xdr:colOff>457200</xdr:colOff>
      <xdr:row>9</xdr:row>
      <xdr:rowOff>76200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323975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9</xdr:row>
      <xdr:rowOff>0</xdr:rowOff>
    </xdr:from>
    <xdr:to>
      <xdr:col>2</xdr:col>
      <xdr:colOff>457200</xdr:colOff>
      <xdr:row>10</xdr:row>
      <xdr:rowOff>76200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48590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457200</xdr:colOff>
      <xdr:row>11</xdr:row>
      <xdr:rowOff>66675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6478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11</xdr:row>
      <xdr:rowOff>0</xdr:rowOff>
    </xdr:from>
    <xdr:to>
      <xdr:col>2</xdr:col>
      <xdr:colOff>457200</xdr:colOff>
      <xdr:row>12</xdr:row>
      <xdr:rowOff>76200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80975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13</xdr:row>
      <xdr:rowOff>9525</xdr:rowOff>
    </xdr:from>
    <xdr:to>
      <xdr:col>2</xdr:col>
      <xdr:colOff>466725</xdr:colOff>
      <xdr:row>14</xdr:row>
      <xdr:rowOff>85725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1431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14</xdr:row>
      <xdr:rowOff>9525</xdr:rowOff>
    </xdr:from>
    <xdr:to>
      <xdr:col>2</xdr:col>
      <xdr:colOff>466725</xdr:colOff>
      <xdr:row>15</xdr:row>
      <xdr:rowOff>85725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3050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15</xdr:row>
      <xdr:rowOff>9525</xdr:rowOff>
    </xdr:from>
    <xdr:to>
      <xdr:col>2</xdr:col>
      <xdr:colOff>466725</xdr:colOff>
      <xdr:row>16</xdr:row>
      <xdr:rowOff>85725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46697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9525</xdr:rowOff>
    </xdr:from>
    <xdr:to>
      <xdr:col>2</xdr:col>
      <xdr:colOff>466725</xdr:colOff>
      <xdr:row>17</xdr:row>
      <xdr:rowOff>85725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6289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17</xdr:row>
      <xdr:rowOff>9525</xdr:rowOff>
    </xdr:from>
    <xdr:to>
      <xdr:col>2</xdr:col>
      <xdr:colOff>466725</xdr:colOff>
      <xdr:row>18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7908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20</xdr:row>
      <xdr:rowOff>9525</xdr:rowOff>
    </xdr:from>
    <xdr:to>
      <xdr:col>2</xdr:col>
      <xdr:colOff>466725</xdr:colOff>
      <xdr:row>21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2766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85725</xdr:rowOff>
    </xdr:from>
    <xdr:to>
      <xdr:col>2</xdr:col>
      <xdr:colOff>476250</xdr:colOff>
      <xdr:row>20</xdr:row>
      <xdr:rowOff>57150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3028950"/>
          <a:ext cx="2095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22</xdr:row>
      <xdr:rowOff>9525</xdr:rowOff>
    </xdr:from>
    <xdr:to>
      <xdr:col>2</xdr:col>
      <xdr:colOff>466725</xdr:colOff>
      <xdr:row>23</xdr:row>
      <xdr:rowOff>85725</xdr:rowOff>
    </xdr:to>
    <xdr:pic>
      <xdr:nvPicPr>
        <xdr:cNvPr id="1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6004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18</xdr:row>
      <xdr:rowOff>38100</xdr:rowOff>
    </xdr:from>
    <xdr:to>
      <xdr:col>3</xdr:col>
      <xdr:colOff>428625</xdr:colOff>
      <xdr:row>19</xdr:row>
      <xdr:rowOff>85725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29813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21</xdr:row>
      <xdr:rowOff>38100</xdr:rowOff>
    </xdr:from>
    <xdr:to>
      <xdr:col>3</xdr:col>
      <xdr:colOff>428625</xdr:colOff>
      <xdr:row>22</xdr:row>
      <xdr:rowOff>85725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346710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23</xdr:row>
      <xdr:rowOff>0</xdr:rowOff>
    </xdr:from>
    <xdr:to>
      <xdr:col>3</xdr:col>
      <xdr:colOff>419100</xdr:colOff>
      <xdr:row>23</xdr:row>
      <xdr:rowOff>152400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37528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24</xdr:row>
      <xdr:rowOff>9525</xdr:rowOff>
    </xdr:from>
    <xdr:to>
      <xdr:col>3</xdr:col>
      <xdr:colOff>428625</xdr:colOff>
      <xdr:row>25</xdr:row>
      <xdr:rowOff>57150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392430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9525</xdr:rowOff>
    </xdr:from>
    <xdr:to>
      <xdr:col>3</xdr:col>
      <xdr:colOff>428625</xdr:colOff>
      <xdr:row>26</xdr:row>
      <xdr:rowOff>57150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40862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8</xdr:row>
      <xdr:rowOff>9525</xdr:rowOff>
    </xdr:from>
    <xdr:to>
      <xdr:col>4</xdr:col>
      <xdr:colOff>390525</xdr:colOff>
      <xdr:row>9</xdr:row>
      <xdr:rowOff>76200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1333500"/>
          <a:ext cx="190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19050</xdr:rowOff>
    </xdr:from>
    <xdr:to>
      <xdr:col>4</xdr:col>
      <xdr:colOff>419100</xdr:colOff>
      <xdr:row>14</xdr:row>
      <xdr:rowOff>85725</xdr:rowOff>
    </xdr:to>
    <xdr:pic>
      <xdr:nvPicPr>
        <xdr:cNvPr id="26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21526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15</xdr:row>
      <xdr:rowOff>19050</xdr:rowOff>
    </xdr:from>
    <xdr:to>
      <xdr:col>4</xdr:col>
      <xdr:colOff>419100</xdr:colOff>
      <xdr:row>16</xdr:row>
      <xdr:rowOff>85725</xdr:rowOff>
    </xdr:to>
    <xdr:pic>
      <xdr:nvPicPr>
        <xdr:cNvPr id="27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24765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19050</xdr:rowOff>
    </xdr:from>
    <xdr:to>
      <xdr:col>4</xdr:col>
      <xdr:colOff>419100</xdr:colOff>
      <xdr:row>18</xdr:row>
      <xdr:rowOff>85725</xdr:rowOff>
    </xdr:to>
    <xdr:pic>
      <xdr:nvPicPr>
        <xdr:cNvPr id="28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28003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14</xdr:row>
      <xdr:rowOff>19050</xdr:rowOff>
    </xdr:from>
    <xdr:to>
      <xdr:col>4</xdr:col>
      <xdr:colOff>419100</xdr:colOff>
      <xdr:row>15</xdr:row>
      <xdr:rowOff>85725</xdr:rowOff>
    </xdr:to>
    <xdr:pic>
      <xdr:nvPicPr>
        <xdr:cNvPr id="29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23145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19050</xdr:rowOff>
    </xdr:from>
    <xdr:to>
      <xdr:col>4</xdr:col>
      <xdr:colOff>419100</xdr:colOff>
      <xdr:row>17</xdr:row>
      <xdr:rowOff>85725</xdr:rowOff>
    </xdr:to>
    <xdr:pic>
      <xdr:nvPicPr>
        <xdr:cNvPr id="30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26384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32</xdr:row>
      <xdr:rowOff>9525</xdr:rowOff>
    </xdr:from>
    <xdr:to>
      <xdr:col>2</xdr:col>
      <xdr:colOff>438150</xdr:colOff>
      <xdr:row>33</xdr:row>
      <xdr:rowOff>76200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5314950"/>
          <a:ext cx="190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457200</xdr:colOff>
      <xdr:row>34</xdr:row>
      <xdr:rowOff>66675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54673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34</xdr:row>
      <xdr:rowOff>0</xdr:rowOff>
    </xdr:from>
    <xdr:to>
      <xdr:col>2</xdr:col>
      <xdr:colOff>457200</xdr:colOff>
      <xdr:row>35</xdr:row>
      <xdr:rowOff>76200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629275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35</xdr:row>
      <xdr:rowOff>0</xdr:rowOff>
    </xdr:from>
    <xdr:to>
      <xdr:col>2</xdr:col>
      <xdr:colOff>457200</xdr:colOff>
      <xdr:row>36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9120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36</xdr:row>
      <xdr:rowOff>0</xdr:rowOff>
    </xdr:from>
    <xdr:to>
      <xdr:col>2</xdr:col>
      <xdr:colOff>457200</xdr:colOff>
      <xdr:row>37</xdr:row>
      <xdr:rowOff>66675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59531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37</xdr:row>
      <xdr:rowOff>0</xdr:rowOff>
    </xdr:from>
    <xdr:to>
      <xdr:col>2</xdr:col>
      <xdr:colOff>457200</xdr:colOff>
      <xdr:row>38</xdr:row>
      <xdr:rowOff>76200</xdr:rowOff>
    </xdr:to>
    <xdr:pic>
      <xdr:nvPicPr>
        <xdr:cNvPr id="3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611505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38</xdr:row>
      <xdr:rowOff>9525</xdr:rowOff>
    </xdr:from>
    <xdr:to>
      <xdr:col>2</xdr:col>
      <xdr:colOff>466725</xdr:colOff>
      <xdr:row>40</xdr:row>
      <xdr:rowOff>9525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286500"/>
          <a:ext cx="1809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39</xdr:row>
      <xdr:rowOff>9525</xdr:rowOff>
    </xdr:from>
    <xdr:to>
      <xdr:col>2</xdr:col>
      <xdr:colOff>466725</xdr:colOff>
      <xdr:row>40</xdr:row>
      <xdr:rowOff>85725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4484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40</xdr:row>
      <xdr:rowOff>9525</xdr:rowOff>
    </xdr:from>
    <xdr:to>
      <xdr:col>2</xdr:col>
      <xdr:colOff>466725</xdr:colOff>
      <xdr:row>41</xdr:row>
      <xdr:rowOff>85725</xdr:rowOff>
    </xdr:to>
    <xdr:pic>
      <xdr:nvPicPr>
        <xdr:cNvPr id="3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6103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41</xdr:row>
      <xdr:rowOff>9525</xdr:rowOff>
    </xdr:from>
    <xdr:to>
      <xdr:col>2</xdr:col>
      <xdr:colOff>466725</xdr:colOff>
      <xdr:row>42</xdr:row>
      <xdr:rowOff>85725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77227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42</xdr:row>
      <xdr:rowOff>9525</xdr:rowOff>
    </xdr:from>
    <xdr:to>
      <xdr:col>2</xdr:col>
      <xdr:colOff>466725</xdr:colOff>
      <xdr:row>43</xdr:row>
      <xdr:rowOff>85725</xdr:rowOff>
    </xdr:to>
    <xdr:pic>
      <xdr:nvPicPr>
        <xdr:cNvPr id="4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9342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43</xdr:row>
      <xdr:rowOff>9525</xdr:rowOff>
    </xdr:from>
    <xdr:to>
      <xdr:col>2</xdr:col>
      <xdr:colOff>466725</xdr:colOff>
      <xdr:row>44</xdr:row>
      <xdr:rowOff>85725</xdr:rowOff>
    </xdr:to>
    <xdr:pic>
      <xdr:nvPicPr>
        <xdr:cNvPr id="4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0961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46</xdr:row>
      <xdr:rowOff>9525</xdr:rowOff>
    </xdr:from>
    <xdr:to>
      <xdr:col>2</xdr:col>
      <xdr:colOff>466725</xdr:colOff>
      <xdr:row>47</xdr:row>
      <xdr:rowOff>85725</xdr:rowOff>
    </xdr:to>
    <xdr:pic>
      <xdr:nvPicPr>
        <xdr:cNvPr id="4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5819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45</xdr:row>
      <xdr:rowOff>9525</xdr:rowOff>
    </xdr:from>
    <xdr:to>
      <xdr:col>2</xdr:col>
      <xdr:colOff>476250</xdr:colOff>
      <xdr:row>46</xdr:row>
      <xdr:rowOff>104775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8775" y="7419975"/>
          <a:ext cx="2190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48</xdr:row>
      <xdr:rowOff>9525</xdr:rowOff>
    </xdr:from>
    <xdr:to>
      <xdr:col>2</xdr:col>
      <xdr:colOff>466725</xdr:colOff>
      <xdr:row>49</xdr:row>
      <xdr:rowOff>85725</xdr:rowOff>
    </xdr:to>
    <xdr:pic>
      <xdr:nvPicPr>
        <xdr:cNvPr id="4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9057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44</xdr:row>
      <xdr:rowOff>38100</xdr:rowOff>
    </xdr:from>
    <xdr:to>
      <xdr:col>3</xdr:col>
      <xdr:colOff>428625</xdr:colOff>
      <xdr:row>45</xdr:row>
      <xdr:rowOff>85725</xdr:rowOff>
    </xdr:to>
    <xdr:pic>
      <xdr:nvPicPr>
        <xdr:cNvPr id="4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72866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47</xdr:row>
      <xdr:rowOff>38100</xdr:rowOff>
    </xdr:from>
    <xdr:to>
      <xdr:col>3</xdr:col>
      <xdr:colOff>428625</xdr:colOff>
      <xdr:row>48</xdr:row>
      <xdr:rowOff>85725</xdr:rowOff>
    </xdr:to>
    <xdr:pic>
      <xdr:nvPicPr>
        <xdr:cNvPr id="47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777240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49</xdr:row>
      <xdr:rowOff>38100</xdr:rowOff>
    </xdr:from>
    <xdr:to>
      <xdr:col>3</xdr:col>
      <xdr:colOff>428625</xdr:colOff>
      <xdr:row>50</xdr:row>
      <xdr:rowOff>85725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809625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50</xdr:row>
      <xdr:rowOff>38100</xdr:rowOff>
    </xdr:from>
    <xdr:to>
      <xdr:col>3</xdr:col>
      <xdr:colOff>428625</xdr:colOff>
      <xdr:row>51</xdr:row>
      <xdr:rowOff>85725</xdr:rowOff>
    </xdr:to>
    <xdr:pic>
      <xdr:nvPicPr>
        <xdr:cNvPr id="4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825817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51</xdr:row>
      <xdr:rowOff>38100</xdr:rowOff>
    </xdr:from>
    <xdr:to>
      <xdr:col>3</xdr:col>
      <xdr:colOff>428625</xdr:colOff>
      <xdr:row>52</xdr:row>
      <xdr:rowOff>85725</xdr:rowOff>
    </xdr:to>
    <xdr:pic>
      <xdr:nvPicPr>
        <xdr:cNvPr id="50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842010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419100</xdr:colOff>
      <xdr:row>35</xdr:row>
      <xdr:rowOff>85725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56483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19050</xdr:rowOff>
    </xdr:from>
    <xdr:to>
      <xdr:col>4</xdr:col>
      <xdr:colOff>419100</xdr:colOff>
      <xdr:row>40</xdr:row>
      <xdr:rowOff>85725</xdr:rowOff>
    </xdr:to>
    <xdr:pic>
      <xdr:nvPicPr>
        <xdr:cNvPr id="52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64579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19050</xdr:rowOff>
    </xdr:from>
    <xdr:to>
      <xdr:col>4</xdr:col>
      <xdr:colOff>419100</xdr:colOff>
      <xdr:row>42</xdr:row>
      <xdr:rowOff>85725</xdr:rowOff>
    </xdr:to>
    <xdr:pic>
      <xdr:nvPicPr>
        <xdr:cNvPr id="53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67818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43</xdr:row>
      <xdr:rowOff>19050</xdr:rowOff>
    </xdr:from>
    <xdr:to>
      <xdr:col>4</xdr:col>
      <xdr:colOff>419100</xdr:colOff>
      <xdr:row>44</xdr:row>
      <xdr:rowOff>85725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71056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19050</xdr:rowOff>
    </xdr:from>
    <xdr:to>
      <xdr:col>4</xdr:col>
      <xdr:colOff>419100</xdr:colOff>
      <xdr:row>41</xdr:row>
      <xdr:rowOff>85725</xdr:rowOff>
    </xdr:to>
    <xdr:pic>
      <xdr:nvPicPr>
        <xdr:cNvPr id="55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66198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42</xdr:row>
      <xdr:rowOff>19050</xdr:rowOff>
    </xdr:from>
    <xdr:to>
      <xdr:col>4</xdr:col>
      <xdr:colOff>419100</xdr:colOff>
      <xdr:row>43</xdr:row>
      <xdr:rowOff>85725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69437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12</xdr:row>
      <xdr:rowOff>9525</xdr:rowOff>
    </xdr:from>
    <xdr:to>
      <xdr:col>2</xdr:col>
      <xdr:colOff>466725</xdr:colOff>
      <xdr:row>13</xdr:row>
      <xdr:rowOff>114300</xdr:rowOff>
    </xdr:to>
    <xdr:pic>
      <xdr:nvPicPr>
        <xdr:cNvPr id="5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981200"/>
          <a:ext cx="1809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</xdr:row>
      <xdr:rowOff>152400</xdr:rowOff>
    </xdr:from>
    <xdr:to>
      <xdr:col>4</xdr:col>
      <xdr:colOff>419100</xdr:colOff>
      <xdr:row>6</xdr:row>
      <xdr:rowOff>28575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8001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152400</xdr:rowOff>
    </xdr:from>
    <xdr:to>
      <xdr:col>2</xdr:col>
      <xdr:colOff>438150</xdr:colOff>
      <xdr:row>6</xdr:row>
      <xdr:rowOff>38100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001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31</xdr:row>
      <xdr:rowOff>0</xdr:rowOff>
    </xdr:from>
    <xdr:to>
      <xdr:col>2</xdr:col>
      <xdr:colOff>457200</xdr:colOff>
      <xdr:row>32</xdr:row>
      <xdr:rowOff>104775</xdr:rowOff>
    </xdr:to>
    <xdr:pic>
      <xdr:nvPicPr>
        <xdr:cNvPr id="6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114925"/>
          <a:ext cx="1905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31</xdr:row>
      <xdr:rowOff>19050</xdr:rowOff>
    </xdr:from>
    <xdr:to>
      <xdr:col>4</xdr:col>
      <xdr:colOff>419100</xdr:colOff>
      <xdr:row>32</xdr:row>
      <xdr:rowOff>114300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5133975"/>
          <a:ext cx="2000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116</xdr:row>
      <xdr:rowOff>142875</xdr:rowOff>
    </xdr:from>
    <xdr:to>
      <xdr:col>5</xdr:col>
      <xdr:colOff>581025</xdr:colOff>
      <xdr:row>116</xdr:row>
      <xdr:rowOff>142875</xdr:rowOff>
    </xdr:to>
    <xdr:sp>
      <xdr:nvSpPr>
        <xdr:cNvPr id="1" name="Line 2"/>
        <xdr:cNvSpPr>
          <a:spLocks/>
        </xdr:cNvSpPr>
      </xdr:nvSpPr>
      <xdr:spPr>
        <a:xfrm>
          <a:off x="28575" y="22136100"/>
          <a:ext cx="6572250" cy="0"/>
        </a:xfrm>
        <a:prstGeom prst="line">
          <a:avLst/>
        </a:prstGeom>
        <a:noFill/>
        <a:ln w="2556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85725</xdr:rowOff>
    </xdr:from>
    <xdr:to>
      <xdr:col>10</xdr:col>
      <xdr:colOff>457200</xdr:colOff>
      <xdr:row>5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85725"/>
          <a:ext cx="2305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2</xdr:row>
      <xdr:rowOff>209550</xdr:rowOff>
    </xdr:to>
    <xdr:pic>
      <xdr:nvPicPr>
        <xdr:cNvPr id="3" name="Picture 105" descr="Plastics-DO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133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5;&#1088;&#1072;&#1081;&#1089;_&#1080;_&#1090;&#1077;&#1093;_&#1093;&#1072;&#1088;&#1072;&#1082;&#1090;&#1077;&#1088;&#1080;&#1089;&#1090;&#1080;&#1082;&#1080;\&#1044;.&#1054;.&#1052;\09_04_15_Plastics_DOM_eu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05_18_Plastics_Krono_R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Price_and_Specs\&#1044;.&#1054;.&#1052;\29_01_2019_Plastics_DOM_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мойки в декорах камня Montelli"/>
      <sheetName val="Silestone"/>
      <sheetName val="плитка Silestone"/>
      <sheetName val="мойки Silestone"/>
      <sheetName val="DEKTON"/>
      <sheetName val="Invision"/>
      <sheetName val="KronoCompact"/>
      <sheetName val="KronoSiding"/>
      <sheetName val="пластик HPL"/>
      <sheetName val="HPL от 1 листа_Express"/>
      <sheetName val="Кроно Мультикор"/>
      <sheetName val="Контакты"/>
      <sheetName val="HPL трудногорючий"/>
    </sheetNames>
    <sheetDataSet>
      <sheetData sheetId="0">
        <row r="2">
          <cell r="B2">
            <v>42103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KronoCompact"/>
      <sheetName val="Декоры KronoCompact"/>
      <sheetName val=" пластик HPL"/>
      <sheetName val="Декоры HPL"/>
      <sheetName val="HPL_от 1 листа_Express"/>
      <sheetName val="HPL_трудногорючий"/>
      <sheetName val="Мультикор Slim Line"/>
      <sheetName val="Плиты MPB"/>
      <sheetName val="Контакты"/>
    </sheetNames>
    <sheetDataSet>
      <sheetData sheetId="0">
        <row r="2">
          <cell r="B2">
            <v>43223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Цвета Corian по группам"/>
      <sheetName val="Corian_ванны и поддоны"/>
      <sheetName val="Montelli_листы и мойки"/>
      <sheetName val="мойки в декорах камня Montelli"/>
      <sheetName val="Акр камень Rubicone"/>
      <sheetName val="Silestone"/>
      <sheetName val="Мойки Silestone"/>
      <sheetName val="Плитка Silestone"/>
      <sheetName val="Сопутствующие товары"/>
      <sheetName val="Соответствие клея Solumastik"/>
      <sheetName val="DEKTON"/>
      <sheetName val="Invision"/>
      <sheetName val="KronoCompact"/>
      <sheetName val="Декоры KronoCompact"/>
      <sheetName val="KronoCompact Express"/>
      <sheetName val="пластик HPL"/>
      <sheetName val="Декоры HPL"/>
      <sheetName val="HPL от 1 листа_Express"/>
      <sheetName val="HPL трудногорючий"/>
      <sheetName val=" Мультикор Slim Line"/>
      <sheetName val="Плиты MPB"/>
      <sheetName val="Контакты"/>
    </sheetNames>
    <sheetDataSet>
      <sheetData sheetId="0">
        <row r="2">
          <cell r="B2">
            <v>43494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design-panel/invision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10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1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12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%D0%9F%D0%BB%D0%B0%D1%81%D1%82%D1%96%D0%BA%D1%81+%D0%A3%D0%BA%D1%80%D0%B0%D1%97%D0%BD%D0%B0/@50.5217481,30.4753878,17z/data=!3m1!4b1!4m5!3m4!1s0x0:0x75d5c90ae490e728!8m2!3d50.5217481!4d30.4775765" TargetMode="External" /><Relationship Id="rId2" Type="http://schemas.openxmlformats.org/officeDocument/2006/relationships/hyperlink" Target="https://goo.gl/VgrsCJ" TargetMode="External" /><Relationship Id="rId3" Type="http://schemas.openxmlformats.org/officeDocument/2006/relationships/hyperlink" Target="https://www.google.com/maps/place/%D0%9F%D0%BB%D0%B0%D1%81%D1%82%D1%96%D0%BA%D1%81+%D0%A3%D0%BA%D1%80%D0%B0%D1%97%D0%BD%D0%B0/@50.4530277,30.4035476,17z/data=!3m1!4b1!4m5!3m4!1s0x0:0x27fd33423e88b199!8m2!3d50.4530277!4d30.4057363" TargetMode="External" /><Relationship Id="rId4" Type="http://schemas.openxmlformats.org/officeDocument/2006/relationships/hyperlink" Target="https://www.google.com/maps/place/%D0%9F%D0%BB%D0%B0%D1%81%D1%82%D1%96%D0%BA%D1%81-%D0%A3%D0%BA%D1%80%D0%B0%D1%97%D0%BD%D0%B0/@48.4795616,35.0234284,17z/data=!3m1!4b1!4m5!3m4!1s0x0:0xb3f634222293cac2!8m2!3d48.4795616!4d35.0256171?hl=uk" TargetMode="External" /><Relationship Id="rId5" Type="http://schemas.openxmlformats.org/officeDocument/2006/relationships/hyperlink" Target="https://www.google.com/maps/place/Plastics-Ukraine/@47.9105677,33.4239295,17z/data=!3m1!4b1!4m5!3m4!1s0x0:0x19351167f9ec9656!8m2!3d47.9105677!4d33.4261182" TargetMode="External" /><Relationship Id="rId6" Type="http://schemas.openxmlformats.org/officeDocument/2006/relationships/hyperlink" Target="https://www.google.com/maps/place/%D0%9F%D0%BB%D0%B0%D1%81%D1%82%D1%96%D0%BA%D1%81-%D0%A3%D0%BA%D1%80%D0%B0%D1%97%D0%BD%D0%B0/@46.9534857,31.992615,17z/data=!3m1!4b1!4m5!3m4!1s0x0:0xd905a768d37a8d70!8m2!3d46.9534857!4d31.9948037?hl=uk" TargetMode="External" /><Relationship Id="rId7" Type="http://schemas.openxmlformats.org/officeDocument/2006/relationships/hyperlink" Target="https://www.google.com/maps/place/%D0%9F%D0%BB%D0%B0%D1%81%D1%82%D1%96%D0%BA%D1%81-%D0%A3%D0%BA%D1%80%D0%B0%D1%97%D0%BD%D0%B0/@49.8638134,24.0437261,17z/data=!3m1!4b1!4m5!3m4!1s0x0:0xb4a3d6f67dcdfae2!8m2!3d49.8638134!4d24.0459148?hl=uk" TargetMode="External" /><Relationship Id="rId8" Type="http://schemas.openxmlformats.org/officeDocument/2006/relationships/hyperlink" Target="https://www.google.com/maps/place/%D0%9F%D0%BB%D0%B0%D1%81%D1%82%D1%96%D0%BA%D1%81-%D0%A3%D0%BA%D1%80%D0%B0%D1%97%D0%BD%D0%B0/@50.7436876,25.3861496,17z/data=!3m1!4b1!4m5!3m4!1s0x0:0x8cc18e3bf4df91d0!8m2!3d50.7436876!4d25.3883383?hl=uk" TargetMode="External" /><Relationship Id="rId9" Type="http://schemas.openxmlformats.org/officeDocument/2006/relationships/hyperlink" Target="https://www.google.com/maps/place/%D0%9F%D0%BB%D0%B0%D1%81%D1%82%D1%96%D0%BA%D1%81-%D0%A3%D0%BA%D1%80%D0%B0%D1%97%D0%BD%D0%B0/@46.4633309,30.7073906,17z/data=!3m1!4b1!4m5!3m4!1s0x0:0xf8323dd2f8de4a6a!8m2!3d46.4633309!4d30.7095793" TargetMode="External" /><Relationship Id="rId10" Type="http://schemas.openxmlformats.org/officeDocument/2006/relationships/hyperlink" Target="https://www.google.com/maps/place/%D0%9F%D0%BB%D0%B0%D1%81%D1%82%D1%96%D0%BA%D1%81-%D0%A3%D0%BA%D1%80%D0%B0%D1%97%D0%BD%D0%B0/@49.5921514,34.4893454,17z/data=!3m1!4b1!4m5!3m4!1s0x0:0xff96561a624ffb45!8m2!3d49.5921514!4d34.4915341?hl=uk" TargetMode="External" /><Relationship Id="rId11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2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3" Type="http://schemas.openxmlformats.org/officeDocument/2006/relationships/hyperlink" Target="https://www.google.com/maps/place/%D0%9F%D0%BB%D0%B0%D1%81%D1%82%D1%96%D0%BA%D1%81-%D0%A3%D0%BA%D1%80%D0%B0%D1%97%D0%BD%D0%B0/@49.990856,36.2563553,17z/data=!3m1!4b1!4m5!3m4!1s0x0:0x53caaf838409831b!8m2!3d49.990856!4d36.258544?hl=uk" TargetMode="External" /><Relationship Id="rId14" Type="http://schemas.openxmlformats.org/officeDocument/2006/relationships/hyperlink" Target="https://www.google.com/maps/place/%D0%9F%D0%BB%D0%B0%D1%81%D1%82%D1%96%D0%BA%D1%81-%D0%A3%D0%BA%D1%80%D0%B0%D1%97%D0%BD%D0%B0/@46.6555812,32.5850786,17z/data=!3m1!4b1!4m5!3m4!1s0x0:0x212d47c81c348c48!8m2!3d46.6555812!4d32.5872673?hl=uk" TargetMode="External" /><Relationship Id="rId15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6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7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8" Type="http://schemas.openxmlformats.org/officeDocument/2006/relationships/hyperlink" Target="https://www.google.com/maps/place/%D0%9F%D0%BB%D0%B0%D1%81%D1%82%D1%96%D0%BA%D1%81-%D0%A3%D0%BA%D1%80%D0%B0%D1%97%D0%BD%D0%B0/@48.2669827,25.9554425,17z/data=!3m1!4b1!4m5!3m4!1s0x0:0x8611cc39b65a0548!8m2!3d48.2669827!4d25.9576312?hl=uk" TargetMode="External" /><Relationship Id="rId19" Type="http://schemas.openxmlformats.org/officeDocument/2006/relationships/hyperlink" Target="https://www.google.com/maps/place/%D0%9F%D0%BB%D0%B0%D1%81%D1%82%D1%96%D0%BA%D1%81-%D0%A3%D0%BA%D1%80%D0%B0%D1%97%D0%BD%D0%B0/@49.5698624,25.5892601,17z/data=!3m1!4b1!4m5!3m4!1s0x0:0xc1f97081434d465!8m2!3d49.5698624!4d25.5914488?hl=uk" TargetMode="External" /><Relationship Id="rId20" Type="http://schemas.openxmlformats.org/officeDocument/2006/relationships/hyperlink" Target="https://www.google.com/maps/place/%D0%9F%D0%BB%D0%B0%D1%81%D1%82%D1%96%D0%BA%D1%81-%D0%A3%D0%BA%D1%80%D0%B0%D1%97%D0%BD%D0%B0/@48.9042672,24.7266467,17z/data=!3m1!4b1!4m5!3m4!1s0x0:0x191c1df51ce6f3c0!8m2!3d48.9042672!4d24.7288354?hl=ru" TargetMode="External" /><Relationship Id="rId21" Type="http://schemas.openxmlformats.org/officeDocument/2006/relationships/hyperlink" Target="https://goo.gl/Bv0bUj" TargetMode="External" /><Relationship Id="rId22" Type="http://schemas.openxmlformats.org/officeDocument/2006/relationships/hyperlink" Target="https://www.google.com/maps/place/%D0%9F%D0%BB%D0%B0%D1%81%D1%82%D1%96%D0%BA%D1%81-%D0%A3%D0%BA%D1%80%D0%B0%D1%97%D0%BD%D0%B0/@48.5219302,32.2872553,17z/data=!3m1!4b1!4m5!3m4!1s0x0:0x31bfe5300e4d8a2a!8m2!3d48.5219302!4d32.289444?hl=uk" TargetMode="External" /><Relationship Id="rId23" Type="http://schemas.openxmlformats.org/officeDocument/2006/relationships/hyperlink" Target="https://www.google.com/maps/place/%D0%9F%D0%BB%D0%B0%D1%81%D1%82%D1%96%D0%BA%D1%81-%D0%A3%D0%BA%D1%80%D0%B0%D1%97%D0%BD%D0%B0/@50.2751718,28.6678254,17z/data=!3m1!4b1!4m5!3m4!1s0x0:0xf67bf381b3077469!8m2!3d50.2751718!4d28.6700141?hl=ru" TargetMode="External" /><Relationship Id="rId24" Type="http://schemas.openxmlformats.org/officeDocument/2006/relationships/hyperlink" Target="https://www.google.com/maps/place/%D0%9F%D0%BB%D0%B0%D1%81%D1%82%D1%96%D0%BA%D1%81-%D0%A3%D0%BA%D1%80%D0%B0%D1%97%D0%BD%D0%B0/@48.5420403,35.0657118,17z/data=!3m1!4b1!4m5!3m4!1s0x0:0xe3c41c9b2443311a!8m2!3d48.5420403!4d35.0679005?hl=ru" TargetMode="External" /><Relationship Id="rId25" Type="http://schemas.openxmlformats.org/officeDocument/2006/relationships/hyperlink" Target="https://www.google.com/maps/place/%D0%A2%D0%9E%D0%92+%22%D0%9F%D0%BB%D0%B0%D1%81%D1%82%D1%96%D0%BA%D1%81-%D0%A3%D0%BA%D1%80%D0%B0%D1%97%D0%BD%D0%B0%22/@50.5171237,30.482855,17z/data=!3m1!4b1!4m5!3m4!1s0x0:0x3cc4ce0a9038b80a!8m2!3d50.5171237!4d30.4850437" TargetMode="External" /><Relationship Id="rId26" Type="http://schemas.openxmlformats.org/officeDocument/2006/relationships/hyperlink" Target="https://www.google.com/maps/place/%D0%9F%D0%BB%D0%B0%D1%81%D1%82%D1%96%D0%BA%D1%81-%D0%A3%D0%BA%D1%80%D0%B0%D1%97%D0%BD%D0%B0,+%D0%A2%D0%9E%D0%92/@49.8616225,24.0310647,17z/data=!3m1!4b1!4m5!3m4!1s0x0:0xc41c99f37916fca0!8m2!3d49.8616225!4d24.0332534?hl=ua" TargetMode="External" /><Relationship Id="rId27" Type="http://schemas.openxmlformats.org/officeDocument/2006/relationships/hyperlink" Target="https://www.google.com/maps/place/%D0%9F%D0%BB%D0%B0%D1%81%D1%82%D1%96%D0%BA%D1%81-%D0%A3%D0%BA%D1%80%D0%B0%D1%97%D0%BD%D0%B0/@46.9527139,31.9915925,17z/data=!3m1!4b1!4m5!3m4!1s0x0:0x1b899e035768f765!8m2!3d46.9527139!4d31.9937812?hl=ua" TargetMode="External" /><Relationship Id="rId28" Type="http://schemas.openxmlformats.org/officeDocument/2006/relationships/hyperlink" Target="https://www.google.com/maps/place/%D0%9F%D0%BB%D0%B0%D1%81%D1%82%D1%96%D0%BA%D1%81-%D0%A3%D0%BA%D1%80%D0%B0%D1%97%D0%BD%D0%B0,+%D0%A2%D0%9E%D0%92/@49.950859,36.2733661,17z/data=!3m1!4b1!4m5!3m4!1s0x0:0x383534d981818286!8m2!3d49.950859!4d36.2755548" TargetMode="External" /><Relationship Id="rId29" Type="http://schemas.openxmlformats.org/officeDocument/2006/relationships/hyperlink" Target="https://www.google.com/maps/place/Plastics-Moldova/@47.020582,28.8820166,17z/data=!3m1!4b1!4m5!3m4!1s0x0:0x5b6c33b0210a9a8a!8m2!3d47.020582!4d28.8842053?hl=uk" TargetMode="External" /><Relationship Id="rId30" Type="http://schemas.openxmlformats.org/officeDocument/2006/relationships/hyperlink" Target="https://www.google.com/maps/place/%D0%9F%D0%BB%D0%B0%D1%81%D1%82%D0%B8%D0%BA%D1%81-%D0%93%D1%80%D1%83%D0%B7%D0%B8%D1%8F/@41.6959104,44.9257955,17z/data=!3m1!4b1!4m5!3m4!1s0x0:0xb3c98e844551fe9f!8m2!3d41.721833!4d44.792377" TargetMode="External" /><Relationship Id="rId31" Type="http://schemas.openxmlformats.org/officeDocument/2006/relationships/hyperlink" Target="https://www.google.com/maps/place/%D0%9F%D0%BB%D0%B0%D1%81%D1%82%D0%B8%D0%BA%D1%81-%D0%93%D1%80%D1%83%D0%B7%D0%B8%D1%8F/@42.5127663,41.8703939,17z/data=!3m1!4b1!4m5!3m4!1s0x0:0xbccebf3e252c8055!8m2!3d42.5127663!4d41.8725826" TargetMode="External" /><Relationship Id="rId32" Type="http://schemas.openxmlformats.org/officeDocument/2006/relationships/hyperlink" Target="https://www.google.com/maps/place/Plastics+Georgia+Kutaisi/@42.2519646,42.6664693,17z/data=!3m1!4b1!4m12!1m6!3m5!1s0x405cf332ca97c045:0x9957e34ec84319f2!2sPlastics+Georgia+Kutaisi!8m2!3d42.2519646!4d42.668658!3m4!1s0x405cf332ca97c045:0x9957e34ec84319f2!8m" TargetMode="External" /><Relationship Id="rId33" Type="http://schemas.openxmlformats.org/officeDocument/2006/relationships/hyperlink" Target="https://www.google.com/maps/place/%D0%9F%D0%BB%D0%B0%D1%81%D1%82%D0%B8%D0%BA%D1%81-%D0%93%D1%80%D1%83%D0%B7%D0%B8%D1%8F/@41.641078,41.6479042,17z/data=!3m1!4b1!4m5!3m4!1s0x0:0x519a0e10eb3e95f7!8m2!3d41.641078!4d41.6500929" TargetMode="External" /><Relationship Id="rId34" Type="http://schemas.openxmlformats.org/officeDocument/2006/relationships/drawing" Target="../drawings/drawing15.xml" /><Relationship Id="rId35" Type="http://schemas.openxmlformats.org/officeDocument/2006/relationships/vmlDrawing" Target="../drawings/vmlDrawing21.vml" /><Relationship Id="rId36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corian/" TargetMode="External" /><Relationship Id="rId2" Type="http://schemas.openxmlformats.org/officeDocument/2006/relationships/hyperlink" Target="http://plastics.ua/dom/products/acril-stone/moiki/corian.html" TargetMode="External" /><Relationship Id="rId3" Type="http://schemas.openxmlformats.org/officeDocument/2006/relationships/hyperlink" Target="http://plastics.ua/dom/info/actions/" TargetMode="External" /><Relationship Id="rId4" Type="http://schemas.openxmlformats.org/officeDocument/2006/relationships/hyperlink" Target="http://plastics.ua/dom/products/acril-stone/klei.html" TargetMode="External" /><Relationship Id="rId5" Type="http://schemas.openxmlformats.org/officeDocument/2006/relationships/drawing" Target="../drawings/drawing2.xml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iki/montelli.html" TargetMode="External" /><Relationship Id="rId3" Type="http://schemas.openxmlformats.org/officeDocument/2006/relationships/hyperlink" Target="http://plastics.ua/dom/products/acril-stone/klei.html" TargetMode="External" /><Relationship Id="rId4" Type="http://schemas.openxmlformats.org/officeDocument/2006/relationships/drawing" Target="../drawings/drawing3.xml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quartz/silestone/" TargetMode="Externa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quartz/moiki-silestone/" TargetMode="Externa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135"/>
  <sheetViews>
    <sheetView tabSelected="1" view="pageBreakPreview" zoomScaleSheetLayoutView="100" zoomScalePageLayoutView="0" workbookViewId="0" topLeftCell="A1">
      <pane ySplit="1" topLeftCell="A119" activePane="bottomLeft" state="frozen"/>
      <selection pane="topLeft" activeCell="H23" sqref="H23"/>
      <selection pane="bottomLeft" activeCell="F130" sqref="F130"/>
    </sheetView>
  </sheetViews>
  <sheetFormatPr defaultColWidth="9.00390625" defaultRowHeight="12.75"/>
  <cols>
    <col min="1" max="1" width="39.50390625" style="0" customWidth="1"/>
    <col min="2" max="2" width="45.625" style="0" customWidth="1"/>
  </cols>
  <sheetData>
    <row r="1" spans="1:6" ht="52.5" customHeight="1">
      <c r="A1" s="434"/>
      <c r="B1" s="434"/>
      <c r="C1" s="2"/>
      <c r="D1" s="2"/>
      <c r="E1" s="2"/>
      <c r="F1" s="1"/>
    </row>
    <row r="2" spans="1:6" ht="16.5" customHeight="1">
      <c r="A2" s="437" t="s">
        <v>1147</v>
      </c>
      <c r="B2" s="437"/>
      <c r="C2" s="3"/>
      <c r="D2" s="3"/>
      <c r="E2" s="1"/>
      <c r="F2" s="1"/>
    </row>
    <row r="3" spans="1:6" ht="26.25" customHeight="1">
      <c r="A3" s="435" t="s">
        <v>0</v>
      </c>
      <c r="B3" s="435"/>
      <c r="C3" s="4"/>
      <c r="D3" s="3"/>
      <c r="E3" s="1"/>
      <c r="F3" s="1"/>
    </row>
    <row r="4" spans="1:14" ht="27.75" customHeight="1">
      <c r="A4" s="436" t="s">
        <v>173</v>
      </c>
      <c r="B4" s="433"/>
      <c r="C4" s="1"/>
      <c r="D4" s="1"/>
      <c r="N4" t="s">
        <v>364</v>
      </c>
    </row>
    <row r="5" spans="1:4" ht="51.75" customHeight="1">
      <c r="A5" s="436"/>
      <c r="B5" s="433"/>
      <c r="C5" s="1"/>
      <c r="D5" s="1"/>
    </row>
    <row r="6" spans="1:4" ht="71.25" customHeight="1">
      <c r="A6" s="42" t="s">
        <v>174</v>
      </c>
      <c r="B6" s="6"/>
      <c r="C6" s="1"/>
      <c r="D6" s="1"/>
    </row>
    <row r="7" spans="1:4" ht="69.75" customHeight="1">
      <c r="A7" s="42" t="s">
        <v>1</v>
      </c>
      <c r="B7" s="6"/>
      <c r="C7" s="1"/>
      <c r="D7" s="1"/>
    </row>
    <row r="8" spans="1:4" ht="38.25" customHeight="1">
      <c r="A8" s="5" t="s">
        <v>2</v>
      </c>
      <c r="B8" s="433"/>
      <c r="C8" s="1"/>
      <c r="D8" s="1"/>
    </row>
    <row r="9" spans="1:4" ht="34.5" customHeight="1">
      <c r="A9" s="42" t="s">
        <v>159</v>
      </c>
      <c r="B9" s="433"/>
      <c r="C9" s="1"/>
      <c r="D9" s="1"/>
    </row>
    <row r="10" spans="1:4" ht="45" customHeight="1">
      <c r="A10" s="42" t="s">
        <v>3</v>
      </c>
      <c r="B10" s="433"/>
      <c r="C10" s="1"/>
      <c r="D10" s="1"/>
    </row>
    <row r="11" spans="1:4" ht="30.75" customHeight="1">
      <c r="A11" s="42" t="s">
        <v>197</v>
      </c>
      <c r="B11" s="79"/>
      <c r="C11" s="1"/>
      <c r="D11" s="1"/>
    </row>
    <row r="12" spans="1:4" ht="73.5" customHeight="1">
      <c r="A12" s="5" t="s">
        <v>4</v>
      </c>
      <c r="B12" s="7"/>
      <c r="C12" s="1"/>
      <c r="D12" s="1"/>
    </row>
    <row r="13" spans="1:4" ht="72.75" customHeight="1">
      <c r="A13" s="5" t="s">
        <v>5</v>
      </c>
      <c r="B13" s="6"/>
      <c r="C13" s="1"/>
      <c r="D13" s="1"/>
    </row>
    <row r="14" spans="1:4" ht="41.25" customHeight="1">
      <c r="A14" s="5" t="s">
        <v>6</v>
      </c>
      <c r="B14" s="6"/>
      <c r="C14" s="1"/>
      <c r="D14" s="1"/>
    </row>
    <row r="15" spans="1:4" ht="44.25" customHeight="1">
      <c r="A15" s="42" t="s">
        <v>160</v>
      </c>
      <c r="B15" s="6"/>
      <c r="C15" s="1"/>
      <c r="D15" s="1"/>
    </row>
    <row r="16" spans="1:4" ht="37.5" customHeight="1">
      <c r="A16" s="42" t="s">
        <v>7</v>
      </c>
      <c r="B16" s="431"/>
      <c r="C16" s="1"/>
      <c r="D16" s="1"/>
    </row>
    <row r="17" spans="1:4" ht="45" customHeight="1">
      <c r="A17" s="42" t="s">
        <v>196</v>
      </c>
      <c r="B17" s="432"/>
      <c r="C17" s="1"/>
      <c r="D17" s="1"/>
    </row>
    <row r="18" spans="1:4" ht="12.75">
      <c r="A18" s="8"/>
      <c r="C18" s="1"/>
      <c r="D18" s="1"/>
    </row>
    <row r="19" spans="1:4" ht="12.75">
      <c r="A19" s="8"/>
      <c r="B19" s="9"/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134" spans="1:2" ht="37.5" customHeight="1">
      <c r="A134" s="370" t="s">
        <v>797</v>
      </c>
      <c r="B134" s="370">
        <v>33.9</v>
      </c>
    </row>
    <row r="135" spans="1:2" ht="12.75">
      <c r="A135" s="193" t="s">
        <v>798</v>
      </c>
      <c r="B135" s="193">
        <v>28.2</v>
      </c>
    </row>
  </sheetData>
  <sheetProtection selectLockedCells="1" selectUnlockedCells="1"/>
  <mergeCells count="7">
    <mergeCell ref="B16:B17"/>
    <mergeCell ref="B8:B10"/>
    <mergeCell ref="A1:B1"/>
    <mergeCell ref="A3:B3"/>
    <mergeCell ref="A4:A5"/>
    <mergeCell ref="B4:B5"/>
    <mergeCell ref="A2:B2"/>
  </mergeCells>
  <hyperlinks>
    <hyperlink ref="A6" location="'Montelli_листы и мойки'!R1C1" display="акриловый камень и мойки Montelli"/>
    <hyperlink ref="A7" location="'Corian &amp; Montelli'!A1" display="клей для акрилового камня"/>
    <hyperlink ref="A8" location="Silestone!R1C1" display="кварцевый камень Silestone"/>
    <hyperlink ref="A10" location="'плитка Silestone'!A1" display="кварцевая плитка Silestone"/>
    <hyperlink ref="A12" location="Invision!R1C1" display="панели Invision"/>
    <hyperlink ref="A13" location="KronoCompact!R1C1" display="компакт ламинат KronoCompact"/>
    <hyperlink ref="A14" location="KronoPlan!R1C1" display="компакт ламинат KronoPlan"/>
    <hyperlink ref="A16" location="'пластик HPL'!A1" display="пластик HPL"/>
    <hyperlink ref="A9" location="'мойки Silestone'!A1" display="кварцевые мойки Silestone"/>
    <hyperlink ref="A15" location="KronoSiding!R1C1" display="компакт ламинат KronoSiding"/>
    <hyperlink ref="A4:A5" location="'Corian_листы и мойки'!R1C1" display="акриловый камень и мойки Corian"/>
    <hyperlink ref="A17" location="'HPL_от 1 листа'!A1" display="пластик HPL от 1 листа"/>
    <hyperlink ref="A11" location="DEKTON!A1" display="DEKTON"/>
  </hyperlinks>
  <printOptions/>
  <pageMargins left="0.9055118110236221" right="0.7480314960629921" top="0.2755905511811024" bottom="0.2755905511811024" header="0.31496062992125984" footer="0.2362204724409449"/>
  <pageSetup horizontalDpi="300" verticalDpi="300" orientation="portrait" paperSize="9" scale="85" r:id="rId3"/>
  <headerFooter>
    <oddHeader>&amp;C&amp;G</oddHeader>
  </headerFooter>
  <rowBreaks count="1" manualBreakCount="1">
    <brk id="20" max="1" man="1"/>
  </row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0"/>
  <sheetViews>
    <sheetView view="pageLayout" workbookViewId="0" topLeftCell="A1">
      <selection activeCell="F3" sqref="F3"/>
    </sheetView>
  </sheetViews>
  <sheetFormatPr defaultColWidth="9.00390625" defaultRowHeight="12.75"/>
  <cols>
    <col min="4" max="4" width="10.50390625" style="0" customWidth="1"/>
  </cols>
  <sheetData>
    <row r="2" ht="12.75">
      <c r="A2" t="s">
        <v>1142</v>
      </c>
    </row>
    <row r="3" ht="12.75">
      <c r="A3" s="146"/>
    </row>
    <row r="4" spans="1:7" ht="12.75">
      <c r="A4" s="504" t="s">
        <v>9</v>
      </c>
      <c r="B4" s="504" t="s">
        <v>274</v>
      </c>
      <c r="C4" s="504" t="s">
        <v>597</v>
      </c>
      <c r="D4" s="504"/>
      <c r="E4" s="196"/>
      <c r="F4" s="504" t="s">
        <v>601</v>
      </c>
      <c r="G4" s="504"/>
    </row>
    <row r="5" spans="1:7" ht="12.75">
      <c r="A5" s="504"/>
      <c r="B5" s="504"/>
      <c r="C5" s="196" t="s">
        <v>598</v>
      </c>
      <c r="D5" s="196" t="s">
        <v>599</v>
      </c>
      <c r="E5" s="196" t="s">
        <v>600</v>
      </c>
      <c r="F5" s="504"/>
      <c r="G5" s="504"/>
    </row>
    <row r="6" spans="1:7" ht="15">
      <c r="A6" s="292">
        <v>0</v>
      </c>
      <c r="B6" s="351" t="s">
        <v>605</v>
      </c>
      <c r="C6" s="351"/>
      <c r="D6" s="351"/>
      <c r="E6" s="351"/>
      <c r="F6" s="586">
        <f>64.19*Главная!$B$134</f>
        <v>2176.0409999999997</v>
      </c>
      <c r="G6" s="587"/>
    </row>
    <row r="7" spans="1:7" ht="12.75">
      <c r="A7" s="569" t="s">
        <v>606</v>
      </c>
      <c r="B7" s="372" t="s">
        <v>1066</v>
      </c>
      <c r="C7" s="371"/>
      <c r="D7" s="371"/>
      <c r="E7" s="373"/>
      <c r="F7" s="572">
        <f>80.24*Главная!$B$134</f>
        <v>2720.1359999999995</v>
      </c>
      <c r="G7" s="573"/>
    </row>
    <row r="8" spans="1:7" ht="12.75" customHeight="1">
      <c r="A8" s="504"/>
      <c r="B8" s="1" t="s">
        <v>608</v>
      </c>
      <c r="C8" s="1"/>
      <c r="D8" s="1"/>
      <c r="E8" s="374"/>
      <c r="F8" s="574"/>
      <c r="G8" s="575"/>
    </row>
    <row r="9" spans="1:7" ht="12.75" customHeight="1">
      <c r="A9" s="504"/>
      <c r="B9" s="352" t="s">
        <v>612</v>
      </c>
      <c r="C9" s="196"/>
      <c r="D9" s="196"/>
      <c r="E9" s="375"/>
      <c r="F9" s="574"/>
      <c r="G9" s="575"/>
    </row>
    <row r="10" spans="1:7" ht="12.75" customHeight="1">
      <c r="A10" s="504"/>
      <c r="B10" s="1" t="s">
        <v>613</v>
      </c>
      <c r="C10" s="1"/>
      <c r="D10" s="1"/>
      <c r="E10" s="1"/>
      <c r="F10" s="576"/>
      <c r="G10" s="575"/>
    </row>
    <row r="11" spans="1:7" ht="12.75" customHeight="1">
      <c r="A11" s="504"/>
      <c r="B11" s="352" t="s">
        <v>614</v>
      </c>
      <c r="C11" s="196"/>
      <c r="D11" s="196"/>
      <c r="E11" s="196"/>
      <c r="F11" s="577"/>
      <c r="G11" s="578"/>
    </row>
    <row r="12" spans="1:7" ht="12.75" customHeight="1">
      <c r="A12" s="570" t="s">
        <v>615</v>
      </c>
      <c r="B12" s="4" t="s">
        <v>616</v>
      </c>
      <c r="C12" s="1"/>
      <c r="D12" s="1"/>
      <c r="E12" s="1"/>
      <c r="F12" s="579">
        <f>93.36*Главная!$B$134</f>
        <v>3164.904</v>
      </c>
      <c r="G12" s="580"/>
    </row>
    <row r="13" spans="1:7" ht="12.75" customHeight="1">
      <c r="A13" s="570"/>
      <c r="B13" s="352" t="s">
        <v>1067</v>
      </c>
      <c r="C13" s="196"/>
      <c r="D13" s="196"/>
      <c r="E13" s="196"/>
      <c r="F13" s="579"/>
      <c r="G13" s="580"/>
    </row>
    <row r="14" spans="1:7" ht="12.75" customHeight="1">
      <c r="A14" s="570"/>
      <c r="B14" s="4" t="s">
        <v>1068</v>
      </c>
      <c r="C14" s="1"/>
      <c r="D14" s="1"/>
      <c r="E14" s="1"/>
      <c r="F14" s="579"/>
      <c r="G14" s="580"/>
    </row>
    <row r="15" spans="1:7" ht="12.75" customHeight="1">
      <c r="A15" s="570"/>
      <c r="B15" s="352" t="s">
        <v>1069</v>
      </c>
      <c r="C15" s="196"/>
      <c r="D15" s="196"/>
      <c r="E15" s="196"/>
      <c r="F15" s="579"/>
      <c r="G15" s="580"/>
    </row>
    <row r="16" spans="1:7" ht="12.75" customHeight="1">
      <c r="A16" s="570"/>
      <c r="B16" s="4" t="s">
        <v>1070</v>
      </c>
      <c r="C16" s="1"/>
      <c r="D16" s="1"/>
      <c r="E16" s="1"/>
      <c r="F16" s="579"/>
      <c r="G16" s="580"/>
    </row>
    <row r="17" spans="1:7" ht="12.75" customHeight="1">
      <c r="A17" s="571"/>
      <c r="B17" s="353" t="s">
        <v>620</v>
      </c>
      <c r="C17" s="354"/>
      <c r="D17" s="354"/>
      <c r="E17" s="354"/>
      <c r="F17" s="581"/>
      <c r="G17" s="582"/>
    </row>
    <row r="18" spans="1:7" ht="12.75" customHeight="1">
      <c r="A18" s="588" t="s">
        <v>622</v>
      </c>
      <c r="B18" s="355" t="s">
        <v>623</v>
      </c>
      <c r="C18" s="351"/>
      <c r="D18" s="351"/>
      <c r="E18" s="351"/>
      <c r="F18" s="591">
        <f>108.04*Главная!$B$134</f>
        <v>3662.556</v>
      </c>
      <c r="G18" s="573"/>
    </row>
    <row r="19" spans="1:7" ht="12.75" customHeight="1">
      <c r="A19" s="589"/>
      <c r="B19" s="352" t="s">
        <v>630</v>
      </c>
      <c r="C19" s="196"/>
      <c r="D19" s="196"/>
      <c r="E19" s="196"/>
      <c r="F19" s="576"/>
      <c r="G19" s="575"/>
    </row>
    <row r="20" spans="1:7" ht="12.75" customHeight="1">
      <c r="A20" s="589"/>
      <c r="B20" s="4" t="s">
        <v>625</v>
      </c>
      <c r="C20" s="1"/>
      <c r="D20" s="1"/>
      <c r="E20" s="1"/>
      <c r="F20" s="576"/>
      <c r="G20" s="575"/>
    </row>
    <row r="21" spans="1:7" ht="12.75" customHeight="1">
      <c r="A21" s="590"/>
      <c r="B21" s="353" t="s">
        <v>626</v>
      </c>
      <c r="C21" s="354"/>
      <c r="D21" s="354"/>
      <c r="E21" s="354"/>
      <c r="F21" s="577"/>
      <c r="G21" s="578"/>
    </row>
    <row r="22" spans="1:7" ht="12.75" customHeight="1">
      <c r="A22" s="583" t="s">
        <v>627</v>
      </c>
      <c r="B22" s="355" t="s">
        <v>1071</v>
      </c>
      <c r="C22" s="351"/>
      <c r="D22" s="351"/>
      <c r="E22" s="351"/>
      <c r="F22" s="584">
        <f>129.61*Главная!$B$134</f>
        <v>4393.779</v>
      </c>
      <c r="G22" s="585"/>
    </row>
    <row r="23" spans="1:7" ht="12.75" customHeight="1">
      <c r="A23" s="570"/>
      <c r="B23" s="352" t="s">
        <v>1072</v>
      </c>
      <c r="C23" s="196"/>
      <c r="D23" s="196"/>
      <c r="E23" s="196"/>
      <c r="F23" s="579"/>
      <c r="G23" s="580"/>
    </row>
    <row r="24" spans="1:7" ht="12.75" customHeight="1">
      <c r="A24" s="570"/>
      <c r="B24" s="4" t="s">
        <v>1073</v>
      </c>
      <c r="C24" s="1"/>
      <c r="D24" s="1"/>
      <c r="E24" s="1"/>
      <c r="F24" s="579"/>
      <c r="G24" s="580"/>
    </row>
    <row r="25" spans="1:7" ht="12.75" customHeight="1">
      <c r="A25" s="570"/>
      <c r="B25" s="352" t="s">
        <v>629</v>
      </c>
      <c r="C25" s="196"/>
      <c r="D25" s="196"/>
      <c r="E25" s="196"/>
      <c r="F25" s="579"/>
      <c r="G25" s="580"/>
    </row>
    <row r="26" spans="1:7" ht="12.75" customHeight="1">
      <c r="A26" s="571"/>
      <c r="B26" s="179" t="s">
        <v>1074</v>
      </c>
      <c r="C26" s="356"/>
      <c r="D26" s="356"/>
      <c r="E26" s="356"/>
      <c r="F26" s="581"/>
      <c r="G26" s="582"/>
    </row>
    <row r="27" ht="12.75" customHeight="1"/>
    <row r="28" spans="2:7" ht="18">
      <c r="B28" s="350"/>
      <c r="C28" s="350" t="s">
        <v>1075</v>
      </c>
      <c r="D28" s="350"/>
      <c r="E28" s="350"/>
      <c r="F28" s="350"/>
      <c r="G28" s="350"/>
    </row>
    <row r="30" spans="1:7" ht="12.75">
      <c r="A30" s="504" t="s">
        <v>9</v>
      </c>
      <c r="B30" s="504" t="s">
        <v>274</v>
      </c>
      <c r="C30" s="504" t="s">
        <v>597</v>
      </c>
      <c r="D30" s="504"/>
      <c r="E30" s="196"/>
      <c r="F30" s="504" t="s">
        <v>601</v>
      </c>
      <c r="G30" s="504"/>
    </row>
    <row r="31" spans="1:7" ht="12.75" customHeight="1">
      <c r="A31" s="504"/>
      <c r="B31" s="504"/>
      <c r="C31" s="196" t="s">
        <v>598</v>
      </c>
      <c r="D31" s="196" t="s">
        <v>599</v>
      </c>
      <c r="E31" s="196" t="s">
        <v>600</v>
      </c>
      <c r="F31" s="504"/>
      <c r="G31" s="504"/>
    </row>
    <row r="32" spans="1:7" ht="15">
      <c r="A32" s="292">
        <v>0</v>
      </c>
      <c r="B32" s="351" t="s">
        <v>605</v>
      </c>
      <c r="C32" s="351"/>
      <c r="D32" s="351"/>
      <c r="E32" s="351"/>
      <c r="F32" s="586">
        <f>125.06*Главная!$B$134</f>
        <v>4239.534</v>
      </c>
      <c r="G32" s="587"/>
    </row>
    <row r="33" spans="1:7" ht="12.75">
      <c r="A33" s="569" t="s">
        <v>606</v>
      </c>
      <c r="B33" s="372" t="s">
        <v>1066</v>
      </c>
      <c r="C33" s="371"/>
      <c r="D33" s="371"/>
      <c r="E33" s="373"/>
      <c r="F33" s="572">
        <f>156.32*Главная!$B$134</f>
        <v>5299.248</v>
      </c>
      <c r="G33" s="573"/>
    </row>
    <row r="34" spans="1:7" ht="12.75" customHeight="1">
      <c r="A34" s="504" t="s">
        <v>615</v>
      </c>
      <c r="B34" s="1" t="s">
        <v>608</v>
      </c>
      <c r="C34" s="1"/>
      <c r="D34" s="1"/>
      <c r="E34" s="374"/>
      <c r="F34" s="574">
        <f>181.89*Главная!$B$134</f>
        <v>6166.070999999999</v>
      </c>
      <c r="G34" s="575"/>
    </row>
    <row r="35" spans="1:7" ht="12.75" customHeight="1">
      <c r="A35" s="504"/>
      <c r="B35" s="352" t="s">
        <v>612</v>
      </c>
      <c r="C35" s="196"/>
      <c r="D35" s="196"/>
      <c r="E35" s="375"/>
      <c r="F35" s="574"/>
      <c r="G35" s="575"/>
    </row>
    <row r="36" spans="1:7" ht="12.75" customHeight="1">
      <c r="A36" s="504"/>
      <c r="B36" s="1" t="s">
        <v>613</v>
      </c>
      <c r="C36" s="1"/>
      <c r="D36" s="1"/>
      <c r="E36" s="1"/>
      <c r="F36" s="576"/>
      <c r="G36" s="575"/>
    </row>
    <row r="37" spans="1:7" ht="12.75" customHeight="1">
      <c r="A37" s="504"/>
      <c r="B37" s="352" t="s">
        <v>614</v>
      </c>
      <c r="C37" s="196"/>
      <c r="D37" s="196"/>
      <c r="E37" s="196"/>
      <c r="F37" s="577"/>
      <c r="G37" s="578"/>
    </row>
    <row r="38" spans="1:7" ht="12.75" customHeight="1">
      <c r="A38" s="570" t="s">
        <v>615</v>
      </c>
      <c r="B38" s="4" t="s">
        <v>616</v>
      </c>
      <c r="C38" s="1"/>
      <c r="D38" s="1"/>
      <c r="E38" s="1"/>
      <c r="F38" s="584">
        <f>181.89*Главная!$B$134</f>
        <v>6166.070999999999</v>
      </c>
      <c r="G38" s="585"/>
    </row>
    <row r="39" spans="1:7" ht="12.75" customHeight="1">
      <c r="A39" s="570"/>
      <c r="B39" s="352" t="s">
        <v>1067</v>
      </c>
      <c r="C39" s="196"/>
      <c r="D39" s="196"/>
      <c r="E39" s="196"/>
      <c r="F39" s="579"/>
      <c r="G39" s="580"/>
    </row>
    <row r="40" spans="1:7" ht="12.75" customHeight="1">
      <c r="A40" s="570"/>
      <c r="B40" s="4" t="s">
        <v>1068</v>
      </c>
      <c r="C40" s="1"/>
      <c r="D40" s="1"/>
      <c r="E40" s="1"/>
      <c r="F40" s="579"/>
      <c r="G40" s="580"/>
    </row>
    <row r="41" spans="1:7" ht="12.75" customHeight="1">
      <c r="A41" s="570"/>
      <c r="B41" s="352" t="s">
        <v>1069</v>
      </c>
      <c r="C41" s="196"/>
      <c r="D41" s="196"/>
      <c r="E41" s="196"/>
      <c r="F41" s="579"/>
      <c r="G41" s="580"/>
    </row>
    <row r="42" spans="1:7" ht="12.75" customHeight="1">
      <c r="A42" s="570"/>
      <c r="B42" s="4" t="s">
        <v>1070</v>
      </c>
      <c r="C42" s="1"/>
      <c r="D42" s="1"/>
      <c r="E42" s="1"/>
      <c r="F42" s="579"/>
      <c r="G42" s="580"/>
    </row>
    <row r="43" spans="1:7" ht="12.75" customHeight="1">
      <c r="A43" s="571"/>
      <c r="B43" s="353" t="s">
        <v>620</v>
      </c>
      <c r="C43" s="354"/>
      <c r="D43" s="354"/>
      <c r="E43" s="354"/>
      <c r="F43" s="581"/>
      <c r="G43" s="582"/>
    </row>
    <row r="44" spans="1:7" ht="12.75" customHeight="1">
      <c r="A44" s="588" t="s">
        <v>622</v>
      </c>
      <c r="B44" s="355" t="s">
        <v>623</v>
      </c>
      <c r="C44" s="351"/>
      <c r="D44" s="351"/>
      <c r="E44" s="351"/>
      <c r="F44" s="591">
        <f>210.46*Главная!$B$134</f>
        <v>7134.594</v>
      </c>
      <c r="G44" s="573"/>
    </row>
    <row r="45" spans="1:7" ht="12.75" customHeight="1">
      <c r="A45" s="589"/>
      <c r="B45" s="352" t="s">
        <v>630</v>
      </c>
      <c r="C45" s="196"/>
      <c r="D45" s="196"/>
      <c r="E45" s="196"/>
      <c r="F45" s="576"/>
      <c r="G45" s="575"/>
    </row>
    <row r="46" spans="1:7" ht="12.75" customHeight="1">
      <c r="A46" s="589"/>
      <c r="B46" s="4" t="s">
        <v>625</v>
      </c>
      <c r="C46" s="1"/>
      <c r="D46" s="1"/>
      <c r="E46" s="1"/>
      <c r="F46" s="576"/>
      <c r="G46" s="575"/>
    </row>
    <row r="47" spans="1:7" ht="12.75" customHeight="1">
      <c r="A47" s="590"/>
      <c r="B47" s="353" t="s">
        <v>626</v>
      </c>
      <c r="C47" s="354"/>
      <c r="D47" s="354"/>
      <c r="E47" s="354"/>
      <c r="F47" s="577"/>
      <c r="G47" s="578"/>
    </row>
    <row r="48" spans="1:7" ht="12.75" customHeight="1">
      <c r="A48" s="583" t="s">
        <v>627</v>
      </c>
      <c r="B48" s="355" t="s">
        <v>1071</v>
      </c>
      <c r="C48" s="351"/>
      <c r="D48" s="351"/>
      <c r="E48" s="351"/>
      <c r="F48" s="584">
        <f>252.56*Главная!$B$134</f>
        <v>8561.784</v>
      </c>
      <c r="G48" s="585"/>
    </row>
    <row r="49" spans="1:7" ht="12.75" customHeight="1">
      <c r="A49" s="570"/>
      <c r="B49" s="352" t="s">
        <v>1072</v>
      </c>
      <c r="C49" s="196"/>
      <c r="D49" s="196"/>
      <c r="E49" s="196"/>
      <c r="F49" s="579"/>
      <c r="G49" s="580"/>
    </row>
    <row r="50" spans="1:7" ht="12.75" customHeight="1">
      <c r="A50" s="570"/>
      <c r="B50" s="4" t="s">
        <v>1073</v>
      </c>
      <c r="C50" s="1"/>
      <c r="D50" s="1"/>
      <c r="E50" s="1"/>
      <c r="F50" s="579"/>
      <c r="G50" s="580"/>
    </row>
    <row r="51" spans="1:7" ht="12.75" customHeight="1">
      <c r="A51" s="570"/>
      <c r="B51" s="352" t="s">
        <v>629</v>
      </c>
      <c r="C51" s="196"/>
      <c r="D51" s="196"/>
      <c r="E51" s="196"/>
      <c r="F51" s="579"/>
      <c r="G51" s="580"/>
    </row>
    <row r="52" spans="1:7" ht="12.75" customHeight="1">
      <c r="A52" s="571"/>
      <c r="B52" s="179" t="s">
        <v>1074</v>
      </c>
      <c r="C52" s="356"/>
      <c r="D52" s="356"/>
      <c r="E52" s="356"/>
      <c r="F52" s="581"/>
      <c r="G52" s="582"/>
    </row>
    <row r="53" ht="12.75" customHeight="1"/>
    <row r="54" ht="12.75">
      <c r="A54" s="146" t="s">
        <v>631</v>
      </c>
    </row>
    <row r="55" ht="12.75">
      <c r="A55" s="146"/>
    </row>
    <row r="56" spans="1:4" ht="12.75">
      <c r="A56" t="s">
        <v>632</v>
      </c>
      <c r="B56" s="8" t="s">
        <v>633</v>
      </c>
      <c r="C56" s="8" t="s">
        <v>634</v>
      </c>
      <c r="D56" t="s">
        <v>635</v>
      </c>
    </row>
    <row r="57" ht="12.75">
      <c r="A57" s="146"/>
    </row>
    <row r="58" spans="1:2" ht="12.75">
      <c r="A58" s="146"/>
      <c r="B58" t="s">
        <v>636</v>
      </c>
    </row>
    <row r="59" ht="12.75">
      <c r="A59" s="146"/>
    </row>
    <row r="60" spans="1:2" ht="12.75">
      <c r="A60" t="s">
        <v>1077</v>
      </c>
      <c r="B60" t="s">
        <v>1078</v>
      </c>
    </row>
  </sheetData>
  <sheetProtection/>
  <mergeCells count="26">
    <mergeCell ref="C30:D30"/>
    <mergeCell ref="F30:G31"/>
    <mergeCell ref="F32:G32"/>
    <mergeCell ref="A44:A47"/>
    <mergeCell ref="F44:G47"/>
    <mergeCell ref="F38:G43"/>
    <mergeCell ref="A4:A5"/>
    <mergeCell ref="B4:B5"/>
    <mergeCell ref="C4:D4"/>
    <mergeCell ref="F4:G5"/>
    <mergeCell ref="F6:G6"/>
    <mergeCell ref="A48:A52"/>
    <mergeCell ref="F48:G52"/>
    <mergeCell ref="A38:A43"/>
    <mergeCell ref="A18:A21"/>
    <mergeCell ref="F18:G21"/>
    <mergeCell ref="A7:A11"/>
    <mergeCell ref="A12:A17"/>
    <mergeCell ref="F7:G11"/>
    <mergeCell ref="F12:G17"/>
    <mergeCell ref="A33:A37"/>
    <mergeCell ref="F33:G37"/>
    <mergeCell ref="A22:A26"/>
    <mergeCell ref="F22:G26"/>
    <mergeCell ref="A30:A31"/>
    <mergeCell ref="B30:B31"/>
  </mergeCells>
  <printOptions/>
  <pageMargins left="0.7" right="0.7" top="0.75" bottom="0.3229166666666667" header="0.3" footer="0.3"/>
  <pageSetup horizontalDpi="600" verticalDpi="600" orientation="portrait" paperSize="9" r:id="rId3"/>
  <headerFooter>
    <oddHeader>&amp;C&amp;G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L7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23" sqref="H23"/>
      <selection pane="bottomLeft" activeCell="T14" sqref="T14"/>
    </sheetView>
  </sheetViews>
  <sheetFormatPr defaultColWidth="9.00390625" defaultRowHeight="12.75"/>
  <cols>
    <col min="1" max="1" width="19.125" style="11" customWidth="1"/>
    <col min="2" max="2" width="34.375" style="11" customWidth="1"/>
    <col min="4" max="4" width="7.875" style="0" customWidth="1"/>
    <col min="5" max="11" width="8.625" style="0" customWidth="1"/>
    <col min="12" max="12" width="12.875" style="0" customWidth="1"/>
  </cols>
  <sheetData>
    <row r="1" spans="1:11" ht="20.25" customHeight="1">
      <c r="A1" s="596">
        <f>Главная!B2</f>
        <v>0</v>
      </c>
      <c r="B1" s="596"/>
      <c r="C1" s="49" t="s">
        <v>257</v>
      </c>
      <c r="D1" s="49"/>
      <c r="E1" s="49"/>
      <c r="F1" s="49"/>
      <c r="G1" s="49"/>
      <c r="H1" s="595"/>
      <c r="I1" s="595"/>
      <c r="J1" s="595"/>
      <c r="K1" s="595"/>
    </row>
    <row r="2" spans="1:11" ht="27.75" customHeight="1">
      <c r="A2" s="593" t="s">
        <v>57</v>
      </c>
      <c r="B2" s="593"/>
      <c r="C2" s="593"/>
      <c r="D2" s="593"/>
      <c r="E2" s="593"/>
      <c r="F2" s="593"/>
      <c r="G2" s="593"/>
      <c r="H2" s="595"/>
      <c r="I2" s="595"/>
      <c r="J2" s="595"/>
      <c r="K2" s="595"/>
    </row>
    <row r="3" spans="1:11" ht="18" customHeight="1">
      <c r="A3" s="513" t="s">
        <v>58</v>
      </c>
      <c r="B3" s="513"/>
      <c r="C3" s="513"/>
      <c r="D3" s="513"/>
      <c r="E3" s="513"/>
      <c r="F3" s="513"/>
      <c r="G3" s="513"/>
      <c r="H3" s="595"/>
      <c r="I3" s="595"/>
      <c r="J3" s="595"/>
      <c r="K3" s="595"/>
    </row>
    <row r="4" spans="1:11" ht="15.75" customHeight="1">
      <c r="A4" s="514" t="s">
        <v>176</v>
      </c>
      <c r="B4" s="515"/>
      <c r="C4" s="515"/>
      <c r="D4" s="515"/>
      <c r="E4" s="515"/>
      <c r="F4" s="515"/>
      <c r="G4" s="515"/>
      <c r="H4" s="595"/>
      <c r="I4" s="595"/>
      <c r="J4" s="595"/>
      <c r="K4" s="595"/>
    </row>
    <row r="5" spans="1:11" ht="13.5" customHeight="1">
      <c r="A5" s="512"/>
      <c r="B5" s="512"/>
      <c r="C5" s="512"/>
      <c r="D5" s="512"/>
      <c r="E5" s="512"/>
      <c r="F5" s="512"/>
      <c r="G5" s="512"/>
      <c r="H5" s="595"/>
      <c r="I5" s="595"/>
      <c r="J5" s="595"/>
      <c r="K5" s="595"/>
    </row>
    <row r="6" spans="1:11" ht="12.75">
      <c r="A6" s="594"/>
      <c r="B6" s="594"/>
      <c r="C6" s="594"/>
      <c r="D6" s="594"/>
      <c r="E6" s="594"/>
      <c r="F6" s="594"/>
      <c r="G6" s="594"/>
      <c r="H6" s="595"/>
      <c r="I6" s="595"/>
      <c r="J6" s="595"/>
      <c r="K6" s="595"/>
    </row>
    <row r="7" spans="1:11" ht="12.75" customHeight="1">
      <c r="A7" s="592" t="s">
        <v>181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</row>
    <row r="8" spans="1:11" ht="12.75">
      <c r="A8" s="592"/>
      <c r="B8" s="592"/>
      <c r="C8" s="592"/>
      <c r="D8" s="592"/>
      <c r="E8" s="592"/>
      <c r="F8" s="592"/>
      <c r="G8" s="592"/>
      <c r="H8" s="592"/>
      <c r="I8" s="592"/>
      <c r="J8" s="592"/>
      <c r="K8" s="592"/>
    </row>
    <row r="9" spans="1:11" ht="15.75" customHeight="1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</row>
    <row r="10" spans="1:12" ht="31.5" customHeight="1">
      <c r="A10" s="41" t="s">
        <v>59</v>
      </c>
      <c r="B10" s="41" t="s">
        <v>60</v>
      </c>
      <c r="C10" s="45" t="s">
        <v>61</v>
      </c>
      <c r="D10" s="41" t="s">
        <v>62</v>
      </c>
      <c r="E10" s="41" t="s">
        <v>63</v>
      </c>
      <c r="F10" s="41" t="s">
        <v>64</v>
      </c>
      <c r="G10" s="41" t="s">
        <v>65</v>
      </c>
      <c r="H10" s="41" t="s">
        <v>34</v>
      </c>
      <c r="I10" s="41" t="s">
        <v>66</v>
      </c>
      <c r="J10" s="41" t="s">
        <v>35</v>
      </c>
      <c r="K10" s="41" t="s">
        <v>67</v>
      </c>
      <c r="L10" s="13" t="s">
        <v>11</v>
      </c>
    </row>
    <row r="11" spans="1:11" ht="12.75">
      <c r="A11" s="125" t="s">
        <v>68</v>
      </c>
      <c r="B11" s="126" t="s">
        <v>69</v>
      </c>
      <c r="C11" s="127">
        <v>7</v>
      </c>
      <c r="D11" s="128" t="s">
        <v>182</v>
      </c>
      <c r="E11" s="129" t="s">
        <v>182</v>
      </c>
      <c r="F11" s="129" t="s">
        <v>182</v>
      </c>
      <c r="G11" s="129" t="s">
        <v>182</v>
      </c>
      <c r="H11" s="129">
        <f>539*Главная!B134</f>
        <v>18272.1</v>
      </c>
      <c r="I11" s="129">
        <f>599*Главная!B134</f>
        <v>20306.1</v>
      </c>
      <c r="J11" s="129">
        <f>675*Главная!B134</f>
        <v>22882.5</v>
      </c>
      <c r="K11" s="130">
        <f>749*Главная!B134</f>
        <v>25391.1</v>
      </c>
    </row>
    <row r="12" spans="1:11" ht="12.75">
      <c r="A12" s="125" t="s">
        <v>70</v>
      </c>
      <c r="B12" s="126" t="s">
        <v>71</v>
      </c>
      <c r="C12" s="127">
        <v>7</v>
      </c>
      <c r="D12" s="128" t="s">
        <v>182</v>
      </c>
      <c r="E12" s="129" t="s">
        <v>182</v>
      </c>
      <c r="F12" s="129" t="s">
        <v>182</v>
      </c>
      <c r="G12" s="129">
        <f>409*Главная!B134</f>
        <v>13865.099999999999</v>
      </c>
      <c r="H12" s="129">
        <f>445*Главная!B134</f>
        <v>15085.5</v>
      </c>
      <c r="I12" s="129">
        <f>499*Главная!B134</f>
        <v>16916.1</v>
      </c>
      <c r="J12" s="129">
        <f>569*Главная!B134</f>
        <v>19289.1</v>
      </c>
      <c r="K12" s="130" t="s">
        <v>182</v>
      </c>
    </row>
    <row r="13" spans="1:11" ht="12.75">
      <c r="A13" s="125" t="s">
        <v>72</v>
      </c>
      <c r="B13" s="126" t="s">
        <v>73</v>
      </c>
      <c r="C13" s="127">
        <v>3</v>
      </c>
      <c r="D13" s="128">
        <f>269*Главная!B134</f>
        <v>9119.1</v>
      </c>
      <c r="E13" s="129">
        <f>299*Главная!B134</f>
        <v>10136.1</v>
      </c>
      <c r="F13" s="129">
        <f>329*Главная!B134</f>
        <v>11153.1</v>
      </c>
      <c r="G13" s="129">
        <f>359*Главная!B134</f>
        <v>12170.1</v>
      </c>
      <c r="H13" s="129">
        <f>389*Главная!B134</f>
        <v>13187.099999999999</v>
      </c>
      <c r="I13" s="129">
        <f>449*Главная!B134</f>
        <v>15221.099999999999</v>
      </c>
      <c r="J13" s="129">
        <f>435*Главная!B134</f>
        <v>14746.5</v>
      </c>
      <c r="K13" s="130" t="s">
        <v>182</v>
      </c>
    </row>
    <row r="14" spans="1:11" ht="26.25">
      <c r="A14" s="125" t="s">
        <v>74</v>
      </c>
      <c r="B14" s="126" t="s">
        <v>75</v>
      </c>
      <c r="C14" s="127">
        <v>5</v>
      </c>
      <c r="D14" s="128" t="s">
        <v>182</v>
      </c>
      <c r="E14" s="129">
        <f>349*Главная!B134</f>
        <v>11831.1</v>
      </c>
      <c r="F14" s="129">
        <f>379*Главная!B134</f>
        <v>12848.1</v>
      </c>
      <c r="G14" s="129">
        <f>409*Главная!B134</f>
        <v>13865.099999999999</v>
      </c>
      <c r="H14" s="129">
        <f>439*Главная!B134</f>
        <v>14882.099999999999</v>
      </c>
      <c r="I14" s="129">
        <f>499*Главная!B134</f>
        <v>16916.1</v>
      </c>
      <c r="J14" s="129">
        <f>569*Главная!B134</f>
        <v>19289.1</v>
      </c>
      <c r="K14" s="130" t="s">
        <v>182</v>
      </c>
    </row>
    <row r="15" spans="1:11" ht="26.25">
      <c r="A15" s="125" t="s">
        <v>76</v>
      </c>
      <c r="B15" s="126" t="s">
        <v>77</v>
      </c>
      <c r="C15" s="127">
        <v>7</v>
      </c>
      <c r="D15" s="128" t="s">
        <v>182</v>
      </c>
      <c r="E15" s="129" t="s">
        <v>182</v>
      </c>
      <c r="F15" s="129" t="s">
        <v>182</v>
      </c>
      <c r="G15" s="129">
        <f>499*Главная!B134</f>
        <v>16916.1</v>
      </c>
      <c r="H15" s="129">
        <f>529*Главная!B134</f>
        <v>17933.1</v>
      </c>
      <c r="I15" s="129">
        <f>599*Главная!B134</f>
        <v>20306.1</v>
      </c>
      <c r="J15" s="129">
        <f>659*Главная!B134</f>
        <v>22340.1</v>
      </c>
      <c r="K15" s="130">
        <f>739*Главная!B134</f>
        <v>25052.1</v>
      </c>
    </row>
    <row r="16" spans="1:11" ht="12.75">
      <c r="A16" s="125" t="s">
        <v>78</v>
      </c>
      <c r="B16" s="126" t="s">
        <v>79</v>
      </c>
      <c r="C16" s="127">
        <v>5</v>
      </c>
      <c r="D16" s="128" t="s">
        <v>182</v>
      </c>
      <c r="E16" s="129">
        <f>349*Главная!B134</f>
        <v>11831.1</v>
      </c>
      <c r="F16" s="129">
        <f>379*Главная!B134</f>
        <v>12848.1</v>
      </c>
      <c r="G16" s="129">
        <f>409*Главная!B134</f>
        <v>13865.099999999999</v>
      </c>
      <c r="H16" s="129">
        <f>439*Главная!B134</f>
        <v>14882.099999999999</v>
      </c>
      <c r="I16" s="129">
        <f>499*Главная!B134</f>
        <v>16916.1</v>
      </c>
      <c r="J16" s="129">
        <f>569*Главная!B134</f>
        <v>19289.1</v>
      </c>
      <c r="K16" s="130" t="s">
        <v>182</v>
      </c>
    </row>
    <row r="17" spans="1:11" ht="12.75">
      <c r="A17" s="125" t="s">
        <v>80</v>
      </c>
      <c r="B17" s="126" t="s">
        <v>81</v>
      </c>
      <c r="C17" s="127">
        <v>7</v>
      </c>
      <c r="D17" s="128" t="s">
        <v>182</v>
      </c>
      <c r="E17" s="129" t="s">
        <v>182</v>
      </c>
      <c r="F17" s="129" t="s">
        <v>182</v>
      </c>
      <c r="G17" s="129">
        <f>509*Главная!B134</f>
        <v>17255.1</v>
      </c>
      <c r="H17" s="129">
        <f>535*Главная!B134</f>
        <v>18136.5</v>
      </c>
      <c r="I17" s="129">
        <f>609*Главная!B134</f>
        <v>20645.1</v>
      </c>
      <c r="J17" s="129">
        <f>669*Главная!B134</f>
        <v>22679.1</v>
      </c>
      <c r="K17" s="130" t="s">
        <v>182</v>
      </c>
    </row>
    <row r="18" spans="1:11" ht="41.25" customHeight="1">
      <c r="A18" s="125" t="s">
        <v>82</v>
      </c>
      <c r="B18" s="126" t="s">
        <v>83</v>
      </c>
      <c r="C18" s="127">
        <v>7</v>
      </c>
      <c r="D18" s="128" t="s">
        <v>182</v>
      </c>
      <c r="E18" s="129" t="s">
        <v>182</v>
      </c>
      <c r="F18" s="129" t="s">
        <v>182</v>
      </c>
      <c r="G18" s="129">
        <f>509*Главная!B134</f>
        <v>17255.1</v>
      </c>
      <c r="H18" s="129">
        <f>535*Главная!B134</f>
        <v>18136.5</v>
      </c>
      <c r="I18" s="129">
        <f>609*Главная!B134</f>
        <v>20645.1</v>
      </c>
      <c r="J18" s="129">
        <f>669*Главная!B134</f>
        <v>22679.1</v>
      </c>
      <c r="K18" s="130">
        <f>749*Главная!B134</f>
        <v>25391.1</v>
      </c>
    </row>
    <row r="19" spans="1:11" ht="30" customHeight="1">
      <c r="A19" s="125" t="s">
        <v>84</v>
      </c>
      <c r="B19" s="126" t="s">
        <v>85</v>
      </c>
      <c r="C19" s="127">
        <v>5</v>
      </c>
      <c r="D19" s="128" t="s">
        <v>182</v>
      </c>
      <c r="E19" s="129">
        <f>349*Главная!B134</f>
        <v>11831.1</v>
      </c>
      <c r="F19" s="129">
        <f>379*Главная!B134</f>
        <v>12848.1</v>
      </c>
      <c r="G19" s="129">
        <f>409*Главная!B134</f>
        <v>13865.099999999999</v>
      </c>
      <c r="H19" s="129">
        <f>439*Главная!B134</f>
        <v>14882.099999999999</v>
      </c>
      <c r="I19" s="129">
        <f>499*Главная!B134</f>
        <v>16916.1</v>
      </c>
      <c r="J19" s="129">
        <f>569*Главная!B134</f>
        <v>19289.1</v>
      </c>
      <c r="K19" s="130" t="s">
        <v>182</v>
      </c>
    </row>
    <row r="20" spans="1:11" ht="21.75" customHeight="1">
      <c r="A20" s="125" t="s">
        <v>86</v>
      </c>
      <c r="B20" s="126" t="s">
        <v>87</v>
      </c>
      <c r="C20" s="127">
        <v>7</v>
      </c>
      <c r="D20" s="128" t="s">
        <v>182</v>
      </c>
      <c r="E20" s="129" t="s">
        <v>182</v>
      </c>
      <c r="F20" s="129" t="s">
        <v>182</v>
      </c>
      <c r="G20" s="129">
        <f>499*Главная!B134</f>
        <v>16916.1</v>
      </c>
      <c r="H20" s="129">
        <f>535*Главная!B134</f>
        <v>18136.5</v>
      </c>
      <c r="I20" s="129">
        <f>609*Главная!B134</f>
        <v>20645.1</v>
      </c>
      <c r="J20" s="129">
        <f>669*Главная!B134</f>
        <v>22679.1</v>
      </c>
      <c r="K20" s="130">
        <f>749*Главная!B134</f>
        <v>25391.1</v>
      </c>
    </row>
    <row r="21" spans="1:11" ht="17.25" customHeight="1">
      <c r="A21" s="125" t="s">
        <v>223</v>
      </c>
      <c r="B21" s="126" t="s">
        <v>224</v>
      </c>
      <c r="C21" s="127">
        <v>7</v>
      </c>
      <c r="D21" s="128" t="s">
        <v>182</v>
      </c>
      <c r="E21" s="129" t="s">
        <v>182</v>
      </c>
      <c r="F21" s="129" t="s">
        <v>182</v>
      </c>
      <c r="G21" s="129">
        <f>499*Главная!B134</f>
        <v>16916.1</v>
      </c>
      <c r="H21" s="129">
        <f>535*Главная!B134</f>
        <v>18136.5</v>
      </c>
      <c r="I21" s="129">
        <f>609*Главная!B134</f>
        <v>20645.1</v>
      </c>
      <c r="J21" s="129">
        <f>669*Главная!B134</f>
        <v>22679.1</v>
      </c>
      <c r="K21" s="130" t="s">
        <v>182</v>
      </c>
    </row>
    <row r="22" spans="1:11" ht="12.75">
      <c r="A22" s="125" t="s">
        <v>88</v>
      </c>
      <c r="B22" s="126" t="s">
        <v>89</v>
      </c>
      <c r="C22" s="127">
        <v>5</v>
      </c>
      <c r="D22" s="128" t="s">
        <v>182</v>
      </c>
      <c r="E22" s="129" t="s">
        <v>182</v>
      </c>
      <c r="F22" s="129" t="s">
        <v>182</v>
      </c>
      <c r="G22" s="129">
        <f>409*Главная!B134</f>
        <v>13865.099999999999</v>
      </c>
      <c r="H22" s="129">
        <f>439*Главная!B134</f>
        <v>14882.099999999999</v>
      </c>
      <c r="I22" s="129">
        <f>499*Главная!B134</f>
        <v>16916.1</v>
      </c>
      <c r="J22" s="129">
        <f>569*Главная!B134</f>
        <v>19289.1</v>
      </c>
      <c r="K22" s="130" t="s">
        <v>182</v>
      </c>
    </row>
    <row r="23" spans="1:11" ht="12.75">
      <c r="A23" s="125" t="s">
        <v>225</v>
      </c>
      <c r="B23" s="126" t="s">
        <v>226</v>
      </c>
      <c r="C23" s="127">
        <v>5</v>
      </c>
      <c r="D23" s="131" t="s">
        <v>182</v>
      </c>
      <c r="E23" s="132" t="s">
        <v>182</v>
      </c>
      <c r="F23" s="132" t="s">
        <v>182</v>
      </c>
      <c r="G23" s="132" t="s">
        <v>182</v>
      </c>
      <c r="H23" s="129">
        <f>439*Главная!B134</f>
        <v>14882.099999999999</v>
      </c>
      <c r="I23" s="129">
        <f>499*Главная!B134</f>
        <v>16916.1</v>
      </c>
      <c r="J23" s="129">
        <f>569*Главная!B134</f>
        <v>19289.1</v>
      </c>
      <c r="K23" s="130" t="s">
        <v>182</v>
      </c>
    </row>
    <row r="24" spans="1:11" ht="12.75">
      <c r="A24" s="125" t="s">
        <v>90</v>
      </c>
      <c r="B24" s="126" t="s">
        <v>91</v>
      </c>
      <c r="C24" s="127">
        <v>7</v>
      </c>
      <c r="D24" s="128">
        <f>399*Главная!B134</f>
        <v>13526.099999999999</v>
      </c>
      <c r="E24" s="129">
        <f>429*Главная!B134</f>
        <v>14543.099999999999</v>
      </c>
      <c r="F24" s="129">
        <f>469*Главная!B134</f>
        <v>15899.099999999999</v>
      </c>
      <c r="G24" s="129">
        <f>499*Главная!B134</f>
        <v>16916.1</v>
      </c>
      <c r="H24" s="129">
        <f>535*Главная!B134</f>
        <v>18136.5</v>
      </c>
      <c r="I24" s="129">
        <f>609*Главная!B134</f>
        <v>20645.1</v>
      </c>
      <c r="J24" s="129">
        <f>679*Главная!B134</f>
        <v>23018.1</v>
      </c>
      <c r="K24" s="130" t="s">
        <v>182</v>
      </c>
    </row>
    <row r="25" spans="1:11" ht="12.75">
      <c r="A25" s="125" t="s">
        <v>92</v>
      </c>
      <c r="B25" s="126" t="s">
        <v>227</v>
      </c>
      <c r="C25" s="127">
        <v>5</v>
      </c>
      <c r="D25" s="128" t="s">
        <v>182</v>
      </c>
      <c r="E25" s="129">
        <f>345*Главная!B134</f>
        <v>11695.5</v>
      </c>
      <c r="F25" s="129">
        <f>379*Главная!B134</f>
        <v>12848.1</v>
      </c>
      <c r="G25" s="129">
        <f>409*Главная!B134</f>
        <v>13865.099999999999</v>
      </c>
      <c r="H25" s="129">
        <f>439*Главная!B134</f>
        <v>14882.099999999999</v>
      </c>
      <c r="I25" s="129">
        <f>499*Главная!B134</f>
        <v>16916.1</v>
      </c>
      <c r="J25" s="129">
        <f>569*Главная!B134</f>
        <v>19289.1</v>
      </c>
      <c r="K25" s="130" t="s">
        <v>182</v>
      </c>
    </row>
    <row r="26" spans="1:11" ht="12.75">
      <c r="A26" s="125" t="s">
        <v>228</v>
      </c>
      <c r="B26" s="126" t="s">
        <v>229</v>
      </c>
      <c r="C26" s="127">
        <v>5</v>
      </c>
      <c r="D26" s="128" t="s">
        <v>182</v>
      </c>
      <c r="E26" s="129">
        <f>349*Главная!B134</f>
        <v>11831.1</v>
      </c>
      <c r="F26" s="129">
        <f>379*Главная!B134</f>
        <v>12848.1</v>
      </c>
      <c r="G26" s="129">
        <f>409*Главная!B134</f>
        <v>13865.099999999999</v>
      </c>
      <c r="H26" s="129">
        <f>439*Главная!B134</f>
        <v>14882.099999999999</v>
      </c>
      <c r="I26" s="129">
        <f>499*Главная!B134</f>
        <v>16916.1</v>
      </c>
      <c r="J26" s="129">
        <f>559*Главная!B134</f>
        <v>18950.1</v>
      </c>
      <c r="K26" s="130" t="s">
        <v>182</v>
      </c>
    </row>
    <row r="27" spans="1:11" ht="12.75">
      <c r="A27" s="125" t="s">
        <v>230</v>
      </c>
      <c r="B27" s="126" t="s">
        <v>231</v>
      </c>
      <c r="C27" s="127">
        <v>5</v>
      </c>
      <c r="D27" s="128" t="s">
        <v>182</v>
      </c>
      <c r="E27" s="129">
        <f>349*Главная!B134</f>
        <v>11831.1</v>
      </c>
      <c r="F27" s="129">
        <f>379*Главная!B134</f>
        <v>12848.1</v>
      </c>
      <c r="G27" s="129">
        <f>409*Главная!B134</f>
        <v>13865.099999999999</v>
      </c>
      <c r="H27" s="129">
        <f>439*Главная!B134</f>
        <v>14882.099999999999</v>
      </c>
      <c r="I27" s="129">
        <f>499*Главная!B134</f>
        <v>16916.1</v>
      </c>
      <c r="J27" s="129">
        <f>559*Главная!B134</f>
        <v>18950.1</v>
      </c>
      <c r="K27" s="130" t="s">
        <v>182</v>
      </c>
    </row>
    <row r="28" spans="1:11" ht="12.75">
      <c r="A28" s="125" t="s">
        <v>232</v>
      </c>
      <c r="B28" s="126" t="s">
        <v>233</v>
      </c>
      <c r="C28" s="127">
        <v>7</v>
      </c>
      <c r="D28" s="128" t="s">
        <v>182</v>
      </c>
      <c r="E28" s="129" t="s">
        <v>182</v>
      </c>
      <c r="F28" s="129" t="s">
        <v>182</v>
      </c>
      <c r="G28" s="129">
        <f>409*Главная!B134</f>
        <v>13865.099999999999</v>
      </c>
      <c r="H28" s="129">
        <f>445*Главная!B134</f>
        <v>15085.5</v>
      </c>
      <c r="I28" s="129">
        <f>499*Главная!B134</f>
        <v>16916.1</v>
      </c>
      <c r="J28" s="129">
        <f>569*Главная!B134</f>
        <v>19289.1</v>
      </c>
      <c r="K28" s="130" t="s">
        <v>182</v>
      </c>
    </row>
    <row r="29" spans="1:11" ht="15" customHeight="1">
      <c r="A29" s="125" t="s">
        <v>93</v>
      </c>
      <c r="B29" s="126" t="s">
        <v>94</v>
      </c>
      <c r="C29" s="127">
        <v>6</v>
      </c>
      <c r="D29" s="128">
        <f>325*Главная!B134</f>
        <v>11017.5</v>
      </c>
      <c r="E29" s="129">
        <f>355*Главная!B134</f>
        <v>12034.5</v>
      </c>
      <c r="F29" s="129">
        <f>389*Главная!B134</f>
        <v>13187.099999999999</v>
      </c>
      <c r="G29" s="129">
        <f>419*Главная!B134</f>
        <v>14204.099999999999</v>
      </c>
      <c r="H29" s="129">
        <f>445*Главная!B134</f>
        <v>15085.5</v>
      </c>
      <c r="I29" s="129">
        <f>499*Главная!B134</f>
        <v>16916.1</v>
      </c>
      <c r="J29" s="129">
        <f>569*Главная!B134</f>
        <v>19289.1</v>
      </c>
      <c r="K29" s="130" t="s">
        <v>182</v>
      </c>
    </row>
    <row r="30" spans="1:11" ht="26.25">
      <c r="A30" s="125" t="s">
        <v>95</v>
      </c>
      <c r="B30" s="126" t="s">
        <v>96</v>
      </c>
      <c r="C30" s="127">
        <v>6</v>
      </c>
      <c r="D30" s="128">
        <f>325*Главная!B134</f>
        <v>11017.5</v>
      </c>
      <c r="E30" s="129">
        <f>355*Главная!B134</f>
        <v>12034.5</v>
      </c>
      <c r="F30" s="129">
        <f>389*Главная!B134</f>
        <v>13187.099999999999</v>
      </c>
      <c r="G30" s="129">
        <f>419*Главная!B134</f>
        <v>14204.099999999999</v>
      </c>
      <c r="H30" s="129">
        <f>445*Главная!B134</f>
        <v>15085.5</v>
      </c>
      <c r="I30" s="129">
        <f>499*Главная!B134</f>
        <v>16916.1</v>
      </c>
      <c r="J30" s="129">
        <f>569*Главная!B134</f>
        <v>19289.1</v>
      </c>
      <c r="K30" s="130" t="s">
        <v>182</v>
      </c>
    </row>
    <row r="31" spans="1:11" ht="26.25">
      <c r="A31" s="125" t="s">
        <v>97</v>
      </c>
      <c r="B31" s="126" t="s">
        <v>98</v>
      </c>
      <c r="C31" s="127">
        <v>6</v>
      </c>
      <c r="D31" s="128">
        <f>325*Главная!B134</f>
        <v>11017.5</v>
      </c>
      <c r="E31" s="129">
        <f>355*Главная!B134</f>
        <v>12034.5</v>
      </c>
      <c r="F31" s="129">
        <f>389*Главная!B134</f>
        <v>13187.099999999999</v>
      </c>
      <c r="G31" s="129">
        <f>419*Главная!B134</f>
        <v>14204.099999999999</v>
      </c>
      <c r="H31" s="129">
        <f>445*Главная!B134</f>
        <v>15085.5</v>
      </c>
      <c r="I31" s="129">
        <f>499*Главная!B134</f>
        <v>16916.1</v>
      </c>
      <c r="J31" s="129">
        <f>569*Главная!B134</f>
        <v>19289.1</v>
      </c>
      <c r="K31" s="130" t="s">
        <v>182</v>
      </c>
    </row>
    <row r="32" spans="1:11" ht="26.25">
      <c r="A32" s="125" t="s">
        <v>99</v>
      </c>
      <c r="B32" s="126" t="s">
        <v>100</v>
      </c>
      <c r="C32" s="127">
        <v>7</v>
      </c>
      <c r="D32" s="128" t="s">
        <v>182</v>
      </c>
      <c r="E32" s="129">
        <f>435*Главная!B134</f>
        <v>14746.5</v>
      </c>
      <c r="F32" s="129">
        <f>479*Главная!B134</f>
        <v>16238.099999999999</v>
      </c>
      <c r="G32" s="129">
        <f>499*Главная!B134</f>
        <v>16916.1</v>
      </c>
      <c r="H32" s="129">
        <f>535*Главная!B134</f>
        <v>18136.5</v>
      </c>
      <c r="I32" s="129">
        <f>609*Главная!B134</f>
        <v>20645.1</v>
      </c>
      <c r="J32" s="129">
        <f>679*Главная!B134</f>
        <v>23018.1</v>
      </c>
      <c r="K32" s="130" t="s">
        <v>182</v>
      </c>
    </row>
    <row r="33" spans="1:11" ht="26.25">
      <c r="A33" s="125" t="s">
        <v>101</v>
      </c>
      <c r="B33" s="126" t="s">
        <v>102</v>
      </c>
      <c r="C33" s="127">
        <v>7</v>
      </c>
      <c r="D33" s="128">
        <f>399*Главная!B134</f>
        <v>13526.099999999999</v>
      </c>
      <c r="E33" s="129">
        <f>435*Главная!B134</f>
        <v>14746.5</v>
      </c>
      <c r="F33" s="129">
        <f>479*Главная!B134</f>
        <v>16238.099999999999</v>
      </c>
      <c r="G33" s="129">
        <f>499*Главная!B134</f>
        <v>16916.1</v>
      </c>
      <c r="H33" s="129">
        <f>535*Главная!B134</f>
        <v>18136.5</v>
      </c>
      <c r="I33" s="129">
        <f>609*Главная!B134</f>
        <v>20645.1</v>
      </c>
      <c r="J33" s="129">
        <f>679*Главная!B134</f>
        <v>23018.1</v>
      </c>
      <c r="K33" s="130" t="s">
        <v>182</v>
      </c>
    </row>
    <row r="34" spans="1:11" ht="12.75">
      <c r="A34" s="125" t="s">
        <v>103</v>
      </c>
      <c r="B34" s="126" t="s">
        <v>104</v>
      </c>
      <c r="C34" s="127">
        <v>4</v>
      </c>
      <c r="D34" s="128">
        <f>279*Главная!B134</f>
        <v>9458.1</v>
      </c>
      <c r="E34" s="129">
        <f>319*Главная!B134</f>
        <v>10814.1</v>
      </c>
      <c r="F34" s="129">
        <f>349*Главная!B134</f>
        <v>11831.1</v>
      </c>
      <c r="G34" s="129">
        <f>379*Главная!B134</f>
        <v>12848.1</v>
      </c>
      <c r="H34" s="129">
        <f>399*Главная!B134</f>
        <v>13526.099999999999</v>
      </c>
      <c r="I34" s="129">
        <f>469*Главная!B134</f>
        <v>15899.099999999999</v>
      </c>
      <c r="J34" s="129">
        <f>519*Главная!B134</f>
        <v>17594.1</v>
      </c>
      <c r="K34" s="130" t="s">
        <v>182</v>
      </c>
    </row>
    <row r="35" spans="1:11" ht="12.75">
      <c r="A35" s="125" t="s">
        <v>105</v>
      </c>
      <c r="B35" s="126" t="s">
        <v>106</v>
      </c>
      <c r="C35" s="127">
        <v>1</v>
      </c>
      <c r="D35" s="128">
        <f>225*Главная!B134</f>
        <v>7627.5</v>
      </c>
      <c r="E35" s="129">
        <f>255*Главная!B134</f>
        <v>8644.5</v>
      </c>
      <c r="F35" s="129">
        <f>289*Главная!B134</f>
        <v>9797.1</v>
      </c>
      <c r="G35" s="129">
        <f>319*Главная!B134</f>
        <v>10814.1</v>
      </c>
      <c r="H35" s="129">
        <f>349*Главная!B134</f>
        <v>11831.1</v>
      </c>
      <c r="I35" s="129">
        <f>399*Главная!B134</f>
        <v>13526.099999999999</v>
      </c>
      <c r="J35" s="129">
        <f>459*Главная!B134</f>
        <v>15560.099999999999</v>
      </c>
      <c r="K35" s="130" t="s">
        <v>182</v>
      </c>
    </row>
    <row r="36" spans="1:11" ht="12.75">
      <c r="A36" s="125" t="s">
        <v>107</v>
      </c>
      <c r="B36" s="126" t="s">
        <v>108</v>
      </c>
      <c r="C36" s="127">
        <v>5</v>
      </c>
      <c r="D36" s="128" t="s">
        <v>182</v>
      </c>
      <c r="E36" s="129">
        <f>349*Главная!B134</f>
        <v>11831.1</v>
      </c>
      <c r="F36" s="129">
        <f>379*Главная!B134</f>
        <v>12848.1</v>
      </c>
      <c r="G36" s="129">
        <f>409*Главная!B134</f>
        <v>13865.099999999999</v>
      </c>
      <c r="H36" s="129">
        <f>439*Главная!B134</f>
        <v>14882.099999999999</v>
      </c>
      <c r="I36" s="129">
        <f>499*Главная!B134</f>
        <v>16916.1</v>
      </c>
      <c r="J36" s="129">
        <f>569*Главная!B134</f>
        <v>19289.1</v>
      </c>
      <c r="K36" s="130" t="s">
        <v>182</v>
      </c>
    </row>
    <row r="37" spans="1:11" ht="12.75">
      <c r="A37" s="125" t="s">
        <v>109</v>
      </c>
      <c r="B37" s="126" t="s">
        <v>110</v>
      </c>
      <c r="C37" s="127">
        <v>7</v>
      </c>
      <c r="D37" s="128" t="s">
        <v>182</v>
      </c>
      <c r="E37" s="129" t="s">
        <v>182</v>
      </c>
      <c r="F37" s="129" t="s">
        <v>182</v>
      </c>
      <c r="G37" s="129">
        <f>499*Главная!B134</f>
        <v>16916.1</v>
      </c>
      <c r="H37" s="129">
        <f>549*Главная!B134</f>
        <v>18611.1</v>
      </c>
      <c r="I37" s="129">
        <f>599*Главная!B134</f>
        <v>20306.1</v>
      </c>
      <c r="J37" s="129">
        <f>685*Главная!B134</f>
        <v>23221.5</v>
      </c>
      <c r="K37" s="130">
        <f>759*Главная!B134</f>
        <v>25730.1</v>
      </c>
    </row>
    <row r="38" spans="1:11" ht="12.75">
      <c r="A38" s="125" t="s">
        <v>234</v>
      </c>
      <c r="B38" s="126" t="s">
        <v>235</v>
      </c>
      <c r="C38" s="127">
        <v>0</v>
      </c>
      <c r="D38" s="128">
        <f>199*Главная!B134</f>
        <v>6746.099999999999</v>
      </c>
      <c r="E38" s="129">
        <f>225*Главная!B134</f>
        <v>7627.5</v>
      </c>
      <c r="F38" s="129">
        <f>249*Главная!B134</f>
        <v>8441.1</v>
      </c>
      <c r="G38" s="129">
        <f>279*Главная!B134</f>
        <v>9458.1</v>
      </c>
      <c r="H38" s="129">
        <f>309*Главная!B134</f>
        <v>10475.1</v>
      </c>
      <c r="I38" s="129">
        <f>359*Главная!B134</f>
        <v>12170.1</v>
      </c>
      <c r="J38" s="129">
        <f>409*Главная!B134</f>
        <v>13865.099999999999</v>
      </c>
      <c r="K38" s="130" t="s">
        <v>182</v>
      </c>
    </row>
    <row r="39" spans="1:11" ht="12.75">
      <c r="A39" s="125" t="s">
        <v>236</v>
      </c>
      <c r="B39" s="126" t="s">
        <v>237</v>
      </c>
      <c r="C39" s="127">
        <v>1</v>
      </c>
      <c r="D39" s="128">
        <f>225*Главная!B134</f>
        <v>7627.5</v>
      </c>
      <c r="E39" s="129">
        <f>255*Главная!B134</f>
        <v>8644.5</v>
      </c>
      <c r="F39" s="129">
        <f>285*Главная!B134</f>
        <v>9661.5</v>
      </c>
      <c r="G39" s="129">
        <f>315*Главная!B134</f>
        <v>10678.5</v>
      </c>
      <c r="H39" s="129">
        <f>349*Главная!B134</f>
        <v>11831.1</v>
      </c>
      <c r="I39" s="129">
        <f>409*Главная!B134</f>
        <v>13865.099999999999</v>
      </c>
      <c r="J39" s="129">
        <f>459*Главная!B134</f>
        <v>15560.099999999999</v>
      </c>
      <c r="K39" s="130" t="s">
        <v>182</v>
      </c>
    </row>
    <row r="40" spans="1:11" ht="12.75">
      <c r="A40" s="125" t="s">
        <v>238</v>
      </c>
      <c r="B40" s="126" t="s">
        <v>239</v>
      </c>
      <c r="C40" s="127">
        <v>2</v>
      </c>
      <c r="D40" s="128">
        <f>255*Главная!B134</f>
        <v>8644.5</v>
      </c>
      <c r="E40" s="129">
        <f>285*Главная!B134</f>
        <v>9661.5</v>
      </c>
      <c r="F40" s="129">
        <f>315*Главная!B134</f>
        <v>10678.5</v>
      </c>
      <c r="G40" s="129">
        <f>349*Главная!B134</f>
        <v>11831.1</v>
      </c>
      <c r="H40" s="129">
        <f>359*Главная!B134</f>
        <v>12170.1</v>
      </c>
      <c r="I40" s="129">
        <f>429*Главная!B134</f>
        <v>14543.099999999999</v>
      </c>
      <c r="J40" s="129">
        <f>499*Главная!B134</f>
        <v>16916.1</v>
      </c>
      <c r="K40" s="130" t="s">
        <v>182</v>
      </c>
    </row>
    <row r="41" spans="1:11" ht="12.75">
      <c r="A41" s="125" t="s">
        <v>240</v>
      </c>
      <c r="B41" s="126" t="s">
        <v>241</v>
      </c>
      <c r="C41" s="127">
        <v>3</v>
      </c>
      <c r="D41" s="128">
        <f>269*Главная!B134</f>
        <v>9119.1</v>
      </c>
      <c r="E41" s="129">
        <f>299*Главная!B134</f>
        <v>10136.1</v>
      </c>
      <c r="F41" s="129">
        <f>329*Главная!B134</f>
        <v>11153.1</v>
      </c>
      <c r="G41" s="129">
        <f>369*Главная!B134</f>
        <v>12509.1</v>
      </c>
      <c r="H41" s="129">
        <f>389*Главная!B134</f>
        <v>13187.099999999999</v>
      </c>
      <c r="I41" s="129">
        <f>449*Главная!B134</f>
        <v>15221.099999999999</v>
      </c>
      <c r="J41" s="129">
        <f>515*Главная!B134</f>
        <v>17458.5</v>
      </c>
      <c r="K41" s="130" t="s">
        <v>182</v>
      </c>
    </row>
    <row r="42" spans="1:11" ht="12.75">
      <c r="A42" s="125" t="s">
        <v>242</v>
      </c>
      <c r="B42" s="126" t="s">
        <v>243</v>
      </c>
      <c r="C42" s="127">
        <v>4</v>
      </c>
      <c r="D42" s="128">
        <f>285*Главная!B134</f>
        <v>9661.5</v>
      </c>
      <c r="E42" s="129">
        <f>315*Главная!B134</f>
        <v>10678.5</v>
      </c>
      <c r="F42" s="129">
        <f>345*Главная!B134</f>
        <v>11695.5</v>
      </c>
      <c r="G42" s="129">
        <f>379*Главная!B134</f>
        <v>12848.1</v>
      </c>
      <c r="H42" s="129">
        <f>409*Главная!B134</f>
        <v>13865.099999999999</v>
      </c>
      <c r="I42" s="129">
        <f>469*Главная!B134</f>
        <v>15899.099999999999</v>
      </c>
      <c r="J42" s="129">
        <f>529*Главная!B134</f>
        <v>17933.1</v>
      </c>
      <c r="K42" s="130" t="s">
        <v>182</v>
      </c>
    </row>
    <row r="43" spans="1:11" ht="12.75">
      <c r="A43" s="125" t="s">
        <v>244</v>
      </c>
      <c r="B43" s="126" t="s">
        <v>245</v>
      </c>
      <c r="C43" s="127">
        <v>5</v>
      </c>
      <c r="D43" s="128">
        <f>319*Главная!B134</f>
        <v>10814.1</v>
      </c>
      <c r="E43" s="129">
        <f>349*Главная!B134</f>
        <v>11831.1</v>
      </c>
      <c r="F43" s="129">
        <f>379*Главная!B134</f>
        <v>12848.1</v>
      </c>
      <c r="G43" s="129">
        <f>409*Главная!B134</f>
        <v>13865.099999999999</v>
      </c>
      <c r="H43" s="129">
        <f>439*Главная!B134</f>
        <v>14882.099999999999</v>
      </c>
      <c r="I43" s="129">
        <f>499*Главная!B134</f>
        <v>16916.1</v>
      </c>
      <c r="J43" s="129">
        <f>559*Главная!B134</f>
        <v>18950.1</v>
      </c>
      <c r="K43" s="130" t="s">
        <v>182</v>
      </c>
    </row>
    <row r="44" spans="1:11" ht="12.75">
      <c r="A44" s="125" t="s">
        <v>111</v>
      </c>
      <c r="B44" s="126" t="s">
        <v>112</v>
      </c>
      <c r="C44" s="127">
        <v>2</v>
      </c>
      <c r="D44" s="128">
        <f>249*Главная!B134</f>
        <v>8441.1</v>
      </c>
      <c r="E44" s="129">
        <f>279*Главная!B134</f>
        <v>9458.1</v>
      </c>
      <c r="F44" s="129">
        <f>319*Главная!B134</f>
        <v>10814.1</v>
      </c>
      <c r="G44" s="129">
        <f>349*Главная!B134</f>
        <v>11831.1</v>
      </c>
      <c r="H44" s="129">
        <f>379*Главная!B134</f>
        <v>12848.1</v>
      </c>
      <c r="I44" s="129">
        <f>429*Главная!B134</f>
        <v>14543.099999999999</v>
      </c>
      <c r="J44" s="129">
        <f>499*Главная!B134</f>
        <v>16916.1</v>
      </c>
      <c r="K44" s="130" t="s">
        <v>182</v>
      </c>
    </row>
    <row r="45" spans="1:11" ht="12.75">
      <c r="A45" s="125" t="s">
        <v>113</v>
      </c>
      <c r="B45" s="126" t="s">
        <v>114</v>
      </c>
      <c r="C45" s="127">
        <v>5</v>
      </c>
      <c r="D45" s="128" t="s">
        <v>182</v>
      </c>
      <c r="E45" s="129">
        <f>349*Главная!B134</f>
        <v>11831.1</v>
      </c>
      <c r="F45" s="129">
        <f>379*Главная!B134</f>
        <v>12848.1</v>
      </c>
      <c r="G45" s="129">
        <f>419*Главная!B134</f>
        <v>14204.099999999999</v>
      </c>
      <c r="H45" s="129">
        <f>439*Главная!B134</f>
        <v>14882.099999999999</v>
      </c>
      <c r="I45" s="129">
        <f>499*Главная!B134</f>
        <v>16916.1</v>
      </c>
      <c r="J45" s="129">
        <f>559*Главная!B134</f>
        <v>18950.1</v>
      </c>
      <c r="K45" s="130" t="s">
        <v>182</v>
      </c>
    </row>
    <row r="46" spans="1:11" ht="12.75">
      <c r="A46" s="125" t="s">
        <v>115</v>
      </c>
      <c r="B46" s="126" t="s">
        <v>116</v>
      </c>
      <c r="C46" s="127">
        <v>2</v>
      </c>
      <c r="D46" s="128" t="s">
        <v>182</v>
      </c>
      <c r="E46" s="129">
        <f>289*Главная!B134</f>
        <v>9797.1</v>
      </c>
      <c r="F46" s="129">
        <f>315*Главная!B134</f>
        <v>10678.5</v>
      </c>
      <c r="G46" s="129">
        <f>349*Главная!B134</f>
        <v>11831.1</v>
      </c>
      <c r="H46" s="129">
        <f>375*Главная!B134</f>
        <v>12712.5</v>
      </c>
      <c r="I46" s="129">
        <f>439*Главная!B134</f>
        <v>14882.099999999999</v>
      </c>
      <c r="J46" s="129">
        <f>499*Главная!B134</f>
        <v>16916.1</v>
      </c>
      <c r="K46" s="130" t="s">
        <v>182</v>
      </c>
    </row>
    <row r="47" spans="1:11" ht="27" thickBot="1">
      <c r="A47" s="133" t="s">
        <v>117</v>
      </c>
      <c r="B47" s="134" t="s">
        <v>246</v>
      </c>
      <c r="C47" s="135">
        <v>5</v>
      </c>
      <c r="D47" s="136">
        <f>319*Главная!B134</f>
        <v>10814.1</v>
      </c>
      <c r="E47" s="137">
        <f>349*Главная!B134</f>
        <v>11831.1</v>
      </c>
      <c r="F47" s="137">
        <f>379*Главная!B134</f>
        <v>12848.1</v>
      </c>
      <c r="G47" s="137">
        <f>419*Главная!B134</f>
        <v>14204.099999999999</v>
      </c>
      <c r="H47" s="137">
        <f>449*Главная!B134</f>
        <v>15221.099999999999</v>
      </c>
      <c r="I47" s="137">
        <f>499*Главная!B134</f>
        <v>16916.1</v>
      </c>
      <c r="J47" s="137">
        <f>569*Главная!B134</f>
        <v>19289.1</v>
      </c>
      <c r="K47" s="138" t="s">
        <v>182</v>
      </c>
    </row>
    <row r="48" ht="24.75" customHeight="1"/>
    <row r="49" spans="1:11" ht="27" customHeight="1">
      <c r="A49" s="597" t="s">
        <v>118</v>
      </c>
      <c r="B49" s="597"/>
      <c r="C49" s="32"/>
      <c r="D49" s="599" t="s">
        <v>119</v>
      </c>
      <c r="E49" s="599"/>
      <c r="F49" s="32"/>
      <c r="G49" s="598" t="s">
        <v>120</v>
      </c>
      <c r="H49" s="598"/>
      <c r="I49" s="597" t="s">
        <v>121</v>
      </c>
      <c r="J49" s="597"/>
      <c r="K49" s="32"/>
    </row>
    <row r="50" spans="1:11" ht="12.75" customHeight="1">
      <c r="A50" s="31"/>
      <c r="B50" s="31"/>
      <c r="C50" s="32"/>
      <c r="D50" s="599"/>
      <c r="E50" s="599"/>
      <c r="F50" s="32"/>
      <c r="G50" s="598" t="s">
        <v>122</v>
      </c>
      <c r="H50" s="598"/>
      <c r="I50" s="597" t="s">
        <v>123</v>
      </c>
      <c r="J50" s="597"/>
      <c r="K50" s="32"/>
    </row>
    <row r="51" spans="1:11" ht="12.75">
      <c r="A51" s="31"/>
      <c r="B51" s="31"/>
      <c r="C51" s="32"/>
      <c r="D51" s="32"/>
      <c r="E51" s="32"/>
      <c r="F51" s="32"/>
      <c r="G51" s="32"/>
      <c r="H51" s="32"/>
      <c r="I51" s="31"/>
      <c r="J51" s="31"/>
      <c r="K51" s="32"/>
    </row>
    <row r="52" spans="1:11" ht="12.75">
      <c r="A52" s="31"/>
      <c r="B52" s="31"/>
      <c r="C52" s="32"/>
      <c r="D52" s="32"/>
      <c r="E52" s="32"/>
      <c r="F52" s="32"/>
      <c r="G52" s="32"/>
      <c r="H52" s="32"/>
      <c r="I52" s="32"/>
      <c r="J52" s="32"/>
      <c r="K52" s="21"/>
    </row>
    <row r="53" spans="1:11" ht="24.75" customHeight="1">
      <c r="A53" s="597" t="s">
        <v>124</v>
      </c>
      <c r="B53" s="597"/>
      <c r="C53" s="32"/>
      <c r="D53" s="599" t="s">
        <v>119</v>
      </c>
      <c r="E53" s="599"/>
      <c r="F53" s="32"/>
      <c r="G53" s="598" t="s">
        <v>125</v>
      </c>
      <c r="H53" s="598"/>
      <c r="I53" s="597" t="s">
        <v>126</v>
      </c>
      <c r="J53" s="597"/>
      <c r="K53" s="21"/>
    </row>
    <row r="54" spans="1:11" ht="12.75" customHeight="1">
      <c r="A54" s="597" t="s">
        <v>127</v>
      </c>
      <c r="B54" s="597"/>
      <c r="C54" s="32"/>
      <c r="D54" s="599"/>
      <c r="E54" s="599"/>
      <c r="F54" s="32"/>
      <c r="G54" s="598" t="s">
        <v>128</v>
      </c>
      <c r="H54" s="598"/>
      <c r="I54" s="597" t="s">
        <v>129</v>
      </c>
      <c r="J54" s="597"/>
      <c r="K54" s="21"/>
    </row>
    <row r="55" spans="1:11" ht="12.75" customHeight="1">
      <c r="A55" s="31"/>
      <c r="B55" s="31"/>
      <c r="C55" s="32"/>
      <c r="D55" s="599"/>
      <c r="E55" s="599"/>
      <c r="F55" s="32"/>
      <c r="G55" s="598" t="s">
        <v>130</v>
      </c>
      <c r="H55" s="598"/>
      <c r="I55" s="597" t="s">
        <v>131</v>
      </c>
      <c r="J55" s="597"/>
      <c r="K55" s="21"/>
    </row>
    <row r="56" spans="1:11" ht="12.75">
      <c r="A56" s="31"/>
      <c r="B56" s="31"/>
      <c r="C56" s="32"/>
      <c r="D56" s="32"/>
      <c r="E56" s="32"/>
      <c r="F56" s="32"/>
      <c r="G56" s="32"/>
      <c r="H56" s="32"/>
      <c r="I56" s="31"/>
      <c r="J56" s="31"/>
      <c r="K56" s="21"/>
    </row>
    <row r="57" spans="1:11" ht="12.75">
      <c r="A57" s="31"/>
      <c r="B57" s="31"/>
      <c r="C57" s="32"/>
      <c r="D57" s="32"/>
      <c r="E57" s="32"/>
      <c r="F57" s="32"/>
      <c r="G57" s="32"/>
      <c r="H57" s="32"/>
      <c r="I57" s="32"/>
      <c r="J57" s="32"/>
      <c r="K57" s="21"/>
    </row>
    <row r="58" spans="1:11" ht="12.75">
      <c r="A58" s="33" t="s">
        <v>132</v>
      </c>
      <c r="B58" s="31"/>
      <c r="C58" s="34"/>
      <c r="D58" s="32"/>
      <c r="E58" s="32"/>
      <c r="F58" s="32"/>
      <c r="G58" s="32"/>
      <c r="H58" s="32"/>
      <c r="I58" s="32"/>
      <c r="J58" s="32"/>
      <c r="K58" s="21"/>
    </row>
    <row r="59" spans="1:11" ht="12.75">
      <c r="A59" s="31"/>
      <c r="B59" s="31" t="s">
        <v>133</v>
      </c>
      <c r="C59" s="34">
        <v>0.1</v>
      </c>
      <c r="D59" s="32"/>
      <c r="E59" s="32"/>
      <c r="F59" s="32"/>
      <c r="G59" s="32"/>
      <c r="H59" s="32"/>
      <c r="I59" s="32"/>
      <c r="J59" s="32"/>
      <c r="K59" s="21"/>
    </row>
    <row r="60" spans="1:11" ht="12.75">
      <c r="A60" s="31"/>
      <c r="B60" s="31" t="s">
        <v>158</v>
      </c>
      <c r="C60" s="34">
        <v>0.2</v>
      </c>
      <c r="D60" s="32"/>
      <c r="E60" s="32"/>
      <c r="F60" s="32"/>
      <c r="G60" s="32"/>
      <c r="H60" s="32"/>
      <c r="I60" s="32"/>
      <c r="J60" s="32"/>
      <c r="K60" s="21"/>
    </row>
    <row r="65" spans="1:2" ht="12.75">
      <c r="A65"/>
      <c r="B65"/>
    </row>
    <row r="66" spans="1:2" ht="12.75">
      <c r="A66"/>
      <c r="B66"/>
    </row>
    <row r="67" spans="1:2" ht="12.75" customHeight="1">
      <c r="A67"/>
      <c r="B67"/>
    </row>
    <row r="68" spans="1:2" ht="12.75">
      <c r="A68"/>
      <c r="B68"/>
    </row>
    <row r="69" spans="1:2" ht="12.75">
      <c r="A69"/>
      <c r="B69"/>
    </row>
    <row r="70" spans="1:2" ht="17.25" customHeight="1">
      <c r="A70"/>
      <c r="B70"/>
    </row>
    <row r="71" spans="1:2" ht="12.75">
      <c r="A71"/>
      <c r="B71"/>
    </row>
  </sheetData>
  <sheetProtection selectLockedCells="1" selectUnlockedCells="1"/>
  <autoFilter ref="A10:L45"/>
  <mergeCells count="23">
    <mergeCell ref="G55:H55"/>
    <mergeCell ref="I55:J55"/>
    <mergeCell ref="A53:B53"/>
    <mergeCell ref="G53:H53"/>
    <mergeCell ref="I53:J53"/>
    <mergeCell ref="A54:B54"/>
    <mergeCell ref="G54:H54"/>
    <mergeCell ref="I54:J54"/>
    <mergeCell ref="D53:E55"/>
    <mergeCell ref="A49:B49"/>
    <mergeCell ref="G49:H49"/>
    <mergeCell ref="I49:J49"/>
    <mergeCell ref="D49:E50"/>
    <mergeCell ref="G50:H50"/>
    <mergeCell ref="I50:J50"/>
    <mergeCell ref="A7:K8"/>
    <mergeCell ref="A2:G2"/>
    <mergeCell ref="A3:G3"/>
    <mergeCell ref="A4:G4"/>
    <mergeCell ref="A5:G5"/>
    <mergeCell ref="A6:G6"/>
    <mergeCell ref="H1:K6"/>
    <mergeCell ref="A1:B1"/>
  </mergeCells>
  <hyperlinks>
    <hyperlink ref="L10" location="Главная!A1" display="на главную"/>
    <hyperlink ref="A4:G4" r:id="rId1" display="Смотрите виды и характеристики панелей INVISION на сайте:"/>
  </hyperlinks>
  <printOptions/>
  <pageMargins left="0.8661417322834646" right="0.6692913385826772" top="0.2362204724409449" bottom="0.1968503937007874" header="0.2362204724409449" footer="0.1968503937007874"/>
  <pageSetup horizontalDpi="300" verticalDpi="300" orientation="portrait" paperSize="9" scale="6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7"/>
  </sheetPr>
  <dimension ref="A1:H30"/>
  <sheetViews>
    <sheetView view="pageLayout" zoomScaleSheetLayoutView="100" workbookViewId="0" topLeftCell="A13">
      <selection activeCell="B26" sqref="B26"/>
    </sheetView>
  </sheetViews>
  <sheetFormatPr defaultColWidth="9.00390625" defaultRowHeight="12.75"/>
  <cols>
    <col min="1" max="1" width="18.50390625" style="89" customWidth="1"/>
    <col min="2" max="2" width="17.00390625" style="90" customWidth="1"/>
    <col min="3" max="5" width="17.625" style="90" customWidth="1"/>
    <col min="6" max="6" width="9.00390625" style="90" customWidth="1"/>
  </cols>
  <sheetData>
    <row r="1" spans="1:6" ht="36" customHeight="1">
      <c r="A1" s="606" t="s">
        <v>207</v>
      </c>
      <c r="B1" s="606"/>
      <c r="C1" s="606"/>
      <c r="D1" s="606"/>
      <c r="E1" s="607"/>
      <c r="F1"/>
    </row>
    <row r="2" spans="1:6" ht="13.5" customHeight="1">
      <c r="A2" s="608" t="s">
        <v>208</v>
      </c>
      <c r="B2" s="608"/>
      <c r="C2" s="608"/>
      <c r="D2" s="608"/>
      <c r="E2" s="607"/>
      <c r="F2"/>
    </row>
    <row r="3" spans="1:6" ht="26.25" customHeight="1">
      <c r="A3" s="609" t="s">
        <v>209</v>
      </c>
      <c r="B3" s="609"/>
      <c r="C3" s="609"/>
      <c r="D3" s="609"/>
      <c r="E3" s="607"/>
      <c r="F3"/>
    </row>
    <row r="4" spans="1:6" ht="6.75" customHeight="1">
      <c r="A4" s="607"/>
      <c r="B4" s="607"/>
      <c r="C4" s="607"/>
      <c r="D4" s="607"/>
      <c r="E4" s="607"/>
      <c r="F4"/>
    </row>
    <row r="5" spans="1:7" ht="12.75" customHeight="1">
      <c r="A5" s="80">
        <f>'[2]Главная'!B2</f>
        <v>43223</v>
      </c>
      <c r="B5" s="81"/>
      <c r="C5" s="618" t="s">
        <v>369</v>
      </c>
      <c r="D5" s="618"/>
      <c r="E5" s="618"/>
      <c r="G5" s="83"/>
    </row>
    <row r="6" spans="1:7" ht="12.75" customHeight="1">
      <c r="A6" s="80"/>
      <c r="B6" s="81"/>
      <c r="C6" s="82"/>
      <c r="D6" s="82"/>
      <c r="E6" s="82"/>
      <c r="F6" s="13"/>
      <c r="G6" s="83"/>
    </row>
    <row r="7" spans="1:8" s="14" customFormat="1" ht="17.25" customHeight="1" thickBot="1">
      <c r="A7" s="84"/>
      <c r="B7" s="81"/>
      <c r="C7" s="81"/>
      <c r="D7" s="162" t="s">
        <v>370</v>
      </c>
      <c r="E7" s="82"/>
      <c r="F7" s="85"/>
      <c r="G7" s="86"/>
      <c r="H7" s="86"/>
    </row>
    <row r="8" spans="1:7" s="14" customFormat="1" ht="31.5" customHeight="1" thickBot="1">
      <c r="A8" s="610" t="s">
        <v>59</v>
      </c>
      <c r="B8" s="612" t="s">
        <v>210</v>
      </c>
      <c r="C8" s="612"/>
      <c r="D8" s="256" t="s">
        <v>211</v>
      </c>
      <c r="E8" s="613" t="s">
        <v>371</v>
      </c>
      <c r="F8" s="85"/>
      <c r="G8" s="86"/>
    </row>
    <row r="9" spans="1:8" s="14" customFormat="1" ht="21.75" customHeight="1" thickBot="1">
      <c r="A9" s="611"/>
      <c r="B9" s="615" t="s">
        <v>372</v>
      </c>
      <c r="C9" s="615"/>
      <c r="D9" s="257" t="s">
        <v>212</v>
      </c>
      <c r="E9" s="614"/>
      <c r="F9" s="86"/>
      <c r="G9" s="86"/>
      <c r="H9" s="86"/>
    </row>
    <row r="10" spans="1:8" s="14" customFormat="1" ht="14.25" customHeight="1">
      <c r="A10" s="619" t="s">
        <v>734</v>
      </c>
      <c r="B10" s="604" t="s">
        <v>63</v>
      </c>
      <c r="C10" s="605"/>
      <c r="D10" s="258">
        <f>44.14*Главная!B134</f>
        <v>1496.346</v>
      </c>
      <c r="E10" s="248">
        <v>25</v>
      </c>
      <c r="F10" s="86"/>
      <c r="G10" s="86"/>
      <c r="H10" s="86"/>
    </row>
    <row r="11" spans="1:8" s="14" customFormat="1" ht="14.25" customHeight="1">
      <c r="A11" s="620"/>
      <c r="B11" s="604" t="s">
        <v>64</v>
      </c>
      <c r="C11" s="605"/>
      <c r="D11" s="258">
        <f>52.41*Главная!B134</f>
        <v>1776.6989999999998</v>
      </c>
      <c r="E11" s="248">
        <v>20</v>
      </c>
      <c r="F11" s="86"/>
      <c r="G11" s="86"/>
      <c r="H11" s="86"/>
    </row>
    <row r="12" spans="1:8" s="14" customFormat="1" ht="14.25" customHeight="1" thickBot="1">
      <c r="A12" s="621"/>
      <c r="B12" s="604" t="s">
        <v>65</v>
      </c>
      <c r="C12" s="605"/>
      <c r="D12" s="258">
        <f>66.03*Главная!B134</f>
        <v>2238.417</v>
      </c>
      <c r="E12" s="248">
        <v>15</v>
      </c>
      <c r="F12" s="86"/>
      <c r="G12" s="86"/>
      <c r="H12" s="86"/>
    </row>
    <row r="13" spans="1:8" s="14" customFormat="1" ht="14.25" customHeight="1">
      <c r="A13" s="622" t="s">
        <v>735</v>
      </c>
      <c r="B13" s="603" t="s">
        <v>63</v>
      </c>
      <c r="C13" s="603"/>
      <c r="D13" s="259">
        <f>46.34*Главная!B134</f>
        <v>1570.9260000000002</v>
      </c>
      <c r="E13" s="248">
        <v>25</v>
      </c>
      <c r="F13" s="86"/>
      <c r="G13" s="86"/>
      <c r="H13" s="86"/>
    </row>
    <row r="14" spans="1:8" s="14" customFormat="1" ht="14.25" customHeight="1">
      <c r="A14" s="623"/>
      <c r="B14" s="603" t="s">
        <v>64</v>
      </c>
      <c r="C14" s="603"/>
      <c r="D14" s="259">
        <f>55.03*Главная!B134</f>
        <v>1865.517</v>
      </c>
      <c r="E14" s="248">
        <v>20</v>
      </c>
      <c r="F14" s="86"/>
      <c r="G14" s="86"/>
      <c r="H14" s="86"/>
    </row>
    <row r="15" spans="1:8" s="14" customFormat="1" ht="14.25" customHeight="1" thickBot="1">
      <c r="A15" s="624"/>
      <c r="B15" s="603" t="s">
        <v>65</v>
      </c>
      <c r="C15" s="603"/>
      <c r="D15" s="259">
        <f>69.32*Главная!B134</f>
        <v>2349.948</v>
      </c>
      <c r="E15" s="248">
        <v>15</v>
      </c>
      <c r="F15" s="86"/>
      <c r="G15" s="86"/>
      <c r="H15" s="86"/>
    </row>
    <row r="16" spans="1:8" s="14" customFormat="1" ht="18" customHeight="1">
      <c r="A16" s="600" t="s">
        <v>737</v>
      </c>
      <c r="B16" s="617" t="s">
        <v>63</v>
      </c>
      <c r="C16" s="603"/>
      <c r="D16" s="249">
        <f>53.52*Главная!B134</f>
        <v>1814.328</v>
      </c>
      <c r="E16" s="248">
        <v>25</v>
      </c>
      <c r="F16" s="86"/>
      <c r="G16" s="86"/>
      <c r="H16" s="86"/>
    </row>
    <row r="17" spans="1:8" s="14" customFormat="1" ht="18" customHeight="1">
      <c r="A17" s="601"/>
      <c r="B17" s="617" t="s">
        <v>64</v>
      </c>
      <c r="C17" s="603"/>
      <c r="D17" s="249">
        <f>63.56*Главная!B134</f>
        <v>2154.684</v>
      </c>
      <c r="E17" s="248">
        <v>20</v>
      </c>
      <c r="F17" s="86"/>
      <c r="G17" s="86"/>
      <c r="H17" s="86"/>
    </row>
    <row r="18" spans="1:8" s="14" customFormat="1" ht="15" customHeight="1" thickBot="1">
      <c r="A18" s="602"/>
      <c r="B18" s="617" t="s">
        <v>65</v>
      </c>
      <c r="C18" s="603"/>
      <c r="D18" s="249">
        <f>80.07*Главная!B134</f>
        <v>2714.3729999999996</v>
      </c>
      <c r="E18" s="248">
        <v>15</v>
      </c>
      <c r="F18" s="86"/>
      <c r="G18" s="86"/>
      <c r="H18" s="86"/>
    </row>
    <row r="19" spans="1:8" s="14" customFormat="1" ht="18" customHeight="1">
      <c r="A19" s="87"/>
      <c r="B19" s="23"/>
      <c r="C19" s="88"/>
      <c r="D19" s="250"/>
      <c r="E19" s="88"/>
      <c r="F19" s="85"/>
      <c r="G19" s="86"/>
      <c r="H19" s="86"/>
    </row>
    <row r="20" spans="1:8" s="14" customFormat="1" ht="18" customHeight="1">
      <c r="A20" s="251" t="s">
        <v>1222</v>
      </c>
      <c r="B20" s="23"/>
      <c r="C20" s="88"/>
      <c r="D20" s="250"/>
      <c r="E20" s="88"/>
      <c r="F20" s="85"/>
      <c r="G20" s="86"/>
      <c r="H20" s="86"/>
    </row>
    <row r="21" spans="1:8" s="14" customFormat="1" ht="18" customHeight="1">
      <c r="A21" s="89" t="s">
        <v>1223</v>
      </c>
      <c r="B21" s="23"/>
      <c r="C21" s="88"/>
      <c r="D21" s="250"/>
      <c r="E21" s="88"/>
      <c r="F21" s="85"/>
      <c r="G21" s="86"/>
      <c r="H21" s="86"/>
    </row>
    <row r="22" spans="1:8" s="14" customFormat="1" ht="18" customHeight="1">
      <c r="A22" s="87"/>
      <c r="B22" s="23"/>
      <c r="C22" s="88"/>
      <c r="D22" s="250"/>
      <c r="E22" s="88"/>
      <c r="F22" s="85"/>
      <c r="G22" s="86"/>
      <c r="H22" s="86"/>
    </row>
    <row r="23" s="419" customFormat="1" ht="18" customHeight="1"/>
    <row r="24" spans="1:8" s="14" customFormat="1" ht="18" customHeight="1">
      <c r="A24" s="616" t="s">
        <v>373</v>
      </c>
      <c r="B24" s="616"/>
      <c r="C24" s="616"/>
      <c r="D24" s="616"/>
      <c r="E24" s="23"/>
      <c r="F24"/>
      <c r="G24" s="86"/>
      <c r="H24" s="86"/>
    </row>
    <row r="25" spans="1:8" s="14" customFormat="1" ht="18" customHeight="1">
      <c r="A25" s="23"/>
      <c r="B25" s="25"/>
      <c r="C25" s="25"/>
      <c r="D25" s="23"/>
      <c r="E25" s="23"/>
      <c r="F25"/>
      <c r="G25" s="86"/>
      <c r="H25" s="86"/>
    </row>
    <row r="26" spans="1:6" ht="18.75" customHeight="1">
      <c r="A26" s="23"/>
      <c r="B26" s="254"/>
      <c r="C26" s="255"/>
      <c r="D26" s="23"/>
      <c r="E26" s="23"/>
      <c r="F26"/>
    </row>
    <row r="27" spans="1:6" ht="12.75">
      <c r="A27"/>
      <c r="B27"/>
      <c r="C27"/>
      <c r="D27"/>
      <c r="E27"/>
      <c r="F27"/>
    </row>
    <row r="28" spans="2:6" ht="40.5" customHeight="1">
      <c r="B28"/>
      <c r="C28"/>
      <c r="D28"/>
      <c r="E28"/>
      <c r="F28"/>
    </row>
    <row r="29" spans="2:6" ht="10.5" customHeight="1">
      <c r="B29"/>
      <c r="C29"/>
      <c r="D29"/>
      <c r="E29"/>
      <c r="F29"/>
    </row>
    <row r="30" spans="2:6" ht="12.75" customHeight="1">
      <c r="B30"/>
      <c r="C30"/>
      <c r="D30"/>
      <c r="E30"/>
      <c r="F30"/>
    </row>
  </sheetData>
  <sheetProtection formatRows="0" insertColumns="0" insertRows="0" insertHyperlinks="0" deleteColumns="0" deleteRows="0" sort="0" autoFilter="0" pivotTables="0"/>
  <mergeCells count="23">
    <mergeCell ref="A24:D24"/>
    <mergeCell ref="B16:C16"/>
    <mergeCell ref="B17:C17"/>
    <mergeCell ref="B18:C18"/>
    <mergeCell ref="C5:E5"/>
    <mergeCell ref="A4:E4"/>
    <mergeCell ref="B10:C10"/>
    <mergeCell ref="B11:C11"/>
    <mergeCell ref="A10:A12"/>
    <mergeCell ref="A13:A15"/>
    <mergeCell ref="E1:E3"/>
    <mergeCell ref="A2:D2"/>
    <mergeCell ref="A3:D3"/>
    <mergeCell ref="A8:A9"/>
    <mergeCell ref="B8:C8"/>
    <mergeCell ref="E8:E9"/>
    <mergeCell ref="B9:C9"/>
    <mergeCell ref="A16:A18"/>
    <mergeCell ref="B13:C13"/>
    <mergeCell ref="B14:C14"/>
    <mergeCell ref="B15:C15"/>
    <mergeCell ref="B12:C12"/>
    <mergeCell ref="A1:D1"/>
  </mergeCells>
  <hyperlinks>
    <hyperlink ref="A3:D3" r:id="rId1" display="Смотрите виды и характеристики компакт ламината KronoCompact на сайте:"/>
  </hyperlinks>
  <printOptions/>
  <pageMargins left="0.75" right="0.75" top="1" bottom="1" header="0.5" footer="0.5"/>
  <pageSetup horizontalDpi="600" verticalDpi="600" orientation="portrait" paperSize="9" scale="74" r:id="rId4"/>
  <headerFooter alignWithMargins="0">
    <oddHeader>&amp;C&amp;G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5"/>
  <sheetViews>
    <sheetView view="pageLayout" workbookViewId="0" topLeftCell="A1">
      <selection activeCell="A1" sqref="A1:B63"/>
    </sheetView>
  </sheetViews>
  <sheetFormatPr defaultColWidth="9.00390625" defaultRowHeight="12.75"/>
  <cols>
    <col min="1" max="1" width="11.50390625" style="163" customWidth="1"/>
    <col min="2" max="2" width="11.125" style="164" customWidth="1"/>
    <col min="3" max="3" width="5.50390625" style="0" customWidth="1"/>
    <col min="4" max="4" width="11.125" style="0" customWidth="1"/>
    <col min="5" max="5" width="12.875" style="0" customWidth="1"/>
    <col min="6" max="6" width="5.375" style="0" customWidth="1"/>
    <col min="7" max="7" width="11.625" style="0" customWidth="1"/>
  </cols>
  <sheetData>
    <row r="1" spans="1:2" ht="13.5" customHeight="1" thickBot="1">
      <c r="A1" s="260" t="s">
        <v>374</v>
      </c>
      <c r="B1" s="261" t="s">
        <v>375</v>
      </c>
    </row>
    <row r="2" spans="1:2" ht="21.75" customHeight="1">
      <c r="A2" s="625" t="s">
        <v>734</v>
      </c>
      <c r="B2" s="262" t="s">
        <v>1224</v>
      </c>
    </row>
    <row r="3" spans="1:2" ht="21.75" customHeight="1">
      <c r="A3" s="626"/>
      <c r="B3" s="264" t="s">
        <v>744</v>
      </c>
    </row>
    <row r="4" spans="1:2" ht="12.75" customHeight="1" thickBot="1">
      <c r="A4" s="627"/>
      <c r="B4" s="263" t="s">
        <v>1225</v>
      </c>
    </row>
    <row r="5" spans="1:2" ht="12.75">
      <c r="A5" s="626" t="s">
        <v>735</v>
      </c>
      <c r="B5" s="420" t="s">
        <v>745</v>
      </c>
    </row>
    <row r="6" spans="1:2" ht="12.75">
      <c r="A6" s="626"/>
      <c r="B6" s="264" t="s">
        <v>379</v>
      </c>
    </row>
    <row r="7" spans="1:2" ht="12.75">
      <c r="A7" s="626"/>
      <c r="B7" s="264" t="s">
        <v>380</v>
      </c>
    </row>
    <row r="8" spans="1:2" ht="12.75">
      <c r="A8" s="626"/>
      <c r="B8" s="264" t="s">
        <v>382</v>
      </c>
    </row>
    <row r="9" spans="1:2" ht="12.75">
      <c r="A9" s="626"/>
      <c r="B9" s="264" t="s">
        <v>383</v>
      </c>
    </row>
    <row r="10" spans="1:2" ht="12.75">
      <c r="A10" s="626"/>
      <c r="B10" s="264" t="s">
        <v>746</v>
      </c>
    </row>
    <row r="11" spans="1:2" ht="12.75">
      <c r="A11" s="626"/>
      <c r="B11" s="264" t="s">
        <v>747</v>
      </c>
    </row>
    <row r="12" spans="1:2" ht="12.75">
      <c r="A12" s="626"/>
      <c r="B12" s="264" t="s">
        <v>387</v>
      </c>
    </row>
    <row r="13" spans="1:2" ht="12.75">
      <c r="A13" s="626"/>
      <c r="B13" s="264" t="s">
        <v>1226</v>
      </c>
    </row>
    <row r="14" spans="1:2" ht="12.75">
      <c r="A14" s="626"/>
      <c r="B14" s="264" t="s">
        <v>1227</v>
      </c>
    </row>
    <row r="15" spans="1:2" ht="12.75">
      <c r="A15" s="626"/>
      <c r="B15" s="264" t="s">
        <v>1228</v>
      </c>
    </row>
    <row r="16" spans="1:2" ht="12.75">
      <c r="A16" s="626"/>
      <c r="B16" s="265" t="s">
        <v>1229</v>
      </c>
    </row>
    <row r="17" spans="1:2" ht="12.75">
      <c r="A17" s="626"/>
      <c r="B17" s="265" t="s">
        <v>1230</v>
      </c>
    </row>
    <row r="18" spans="1:2" ht="12.75">
      <c r="A18" s="626"/>
      <c r="B18" s="265" t="s">
        <v>749</v>
      </c>
    </row>
    <row r="19" spans="1:2" ht="12.75">
      <c r="A19" s="626"/>
      <c r="B19" s="265" t="s">
        <v>1231</v>
      </c>
    </row>
    <row r="20" spans="1:2" ht="12.75" customHeight="1">
      <c r="A20" s="626"/>
      <c r="B20" s="265" t="s">
        <v>1232</v>
      </c>
    </row>
    <row r="21" spans="1:2" ht="12.75">
      <c r="A21" s="626"/>
      <c r="B21" s="265" t="s">
        <v>550</v>
      </c>
    </row>
    <row r="22" spans="1:2" ht="12.75">
      <c r="A22" s="626"/>
      <c r="B22" s="265" t="s">
        <v>1233</v>
      </c>
    </row>
    <row r="23" spans="1:2" ht="12.75">
      <c r="A23" s="626"/>
      <c r="B23" s="265" t="s">
        <v>1234</v>
      </c>
    </row>
    <row r="24" spans="1:2" ht="12.75">
      <c r="A24" s="626"/>
      <c r="B24" s="265" t="s">
        <v>1235</v>
      </c>
    </row>
    <row r="25" spans="1:2" ht="12.75">
      <c r="A25" s="626"/>
      <c r="B25" s="265" t="s">
        <v>1236</v>
      </c>
    </row>
    <row r="26" spans="1:2" ht="12.75">
      <c r="A26" s="626"/>
      <c r="B26" s="265" t="s">
        <v>405</v>
      </c>
    </row>
    <row r="27" spans="1:2" ht="12.75">
      <c r="A27" s="626"/>
      <c r="B27" s="265" t="s">
        <v>407</v>
      </c>
    </row>
    <row r="28" spans="1:2" ht="12.75">
      <c r="A28" s="626"/>
      <c r="B28" s="265" t="s">
        <v>1237</v>
      </c>
    </row>
    <row r="29" spans="1:2" ht="12.75">
      <c r="A29" s="626"/>
      <c r="B29" s="265" t="s">
        <v>750</v>
      </c>
    </row>
    <row r="30" spans="1:2" ht="12.75">
      <c r="A30" s="626"/>
      <c r="B30" s="265" t="s">
        <v>425</v>
      </c>
    </row>
    <row r="31" spans="1:2" ht="12.75" customHeight="1" thickBot="1">
      <c r="A31" s="626"/>
      <c r="B31" s="265" t="s">
        <v>427</v>
      </c>
    </row>
    <row r="32" spans="1:2" ht="12.75" customHeight="1">
      <c r="A32" s="628" t="s">
        <v>737</v>
      </c>
      <c r="B32" s="262" t="s">
        <v>1238</v>
      </c>
    </row>
    <row r="33" spans="1:2" ht="12.75" customHeight="1">
      <c r="A33" s="626"/>
      <c r="B33" s="420" t="s">
        <v>1239</v>
      </c>
    </row>
    <row r="34" spans="1:2" ht="12.75">
      <c r="A34" s="626"/>
      <c r="B34" s="264" t="s">
        <v>1240</v>
      </c>
    </row>
    <row r="35" spans="1:2" ht="12.75">
      <c r="A35" s="626"/>
      <c r="B35" s="264" t="s">
        <v>1241</v>
      </c>
    </row>
    <row r="36" spans="1:2" ht="12.75">
      <c r="A36" s="626"/>
      <c r="B36" s="264" t="s">
        <v>1242</v>
      </c>
    </row>
    <row r="37" spans="1:2" ht="12.75">
      <c r="A37" s="626"/>
      <c r="B37" s="264" t="s">
        <v>1243</v>
      </c>
    </row>
    <row r="38" spans="1:2" ht="12.75">
      <c r="A38" s="626"/>
      <c r="B38" s="264" t="s">
        <v>381</v>
      </c>
    </row>
    <row r="39" spans="1:2" ht="12.75">
      <c r="A39" s="626"/>
      <c r="B39" s="264" t="s">
        <v>751</v>
      </c>
    </row>
    <row r="40" spans="1:2" ht="12.75" customHeight="1">
      <c r="A40" s="626"/>
      <c r="B40" s="264" t="s">
        <v>748</v>
      </c>
    </row>
    <row r="41" spans="1:2" ht="12.75">
      <c r="A41" s="626"/>
      <c r="B41" s="264" t="s">
        <v>752</v>
      </c>
    </row>
    <row r="42" spans="1:2" ht="12.75">
      <c r="A42" s="626"/>
      <c r="B42" s="264" t="s">
        <v>402</v>
      </c>
    </row>
    <row r="43" spans="1:2" ht="12.75">
      <c r="A43" s="626"/>
      <c r="B43" s="264" t="s">
        <v>403</v>
      </c>
    </row>
    <row r="44" spans="1:2" ht="12.75">
      <c r="A44" s="626"/>
      <c r="B44" s="264" t="s">
        <v>404</v>
      </c>
    </row>
    <row r="45" spans="1:2" ht="12.75">
      <c r="A45" s="626"/>
      <c r="B45" s="264" t="s">
        <v>406</v>
      </c>
    </row>
    <row r="46" spans="1:2" ht="12.75">
      <c r="A46" s="626"/>
      <c r="B46" s="264" t="s">
        <v>1244</v>
      </c>
    </row>
    <row r="47" spans="1:2" ht="12.75">
      <c r="A47" s="626"/>
      <c r="B47" s="264" t="s">
        <v>1245</v>
      </c>
    </row>
    <row r="48" spans="1:2" ht="12.75">
      <c r="A48" s="626"/>
      <c r="B48" s="264" t="s">
        <v>410</v>
      </c>
    </row>
    <row r="49" spans="1:2" ht="12.75">
      <c r="A49" s="626"/>
      <c r="B49" s="264" t="s">
        <v>411</v>
      </c>
    </row>
    <row r="50" spans="1:2" ht="12.75">
      <c r="A50" s="626"/>
      <c r="B50" s="264" t="s">
        <v>412</v>
      </c>
    </row>
    <row r="51" spans="1:2" ht="12.75">
      <c r="A51" s="626"/>
      <c r="B51" s="264" t="s">
        <v>551</v>
      </c>
    </row>
    <row r="52" spans="1:2" ht="12.75">
      <c r="A52" s="626"/>
      <c r="B52" s="264" t="s">
        <v>414</v>
      </c>
    </row>
    <row r="53" spans="1:2" ht="12.75">
      <c r="A53" s="626"/>
      <c r="B53" s="264" t="s">
        <v>415</v>
      </c>
    </row>
    <row r="54" spans="1:2" ht="12.75">
      <c r="A54" s="626"/>
      <c r="B54" s="264" t="s">
        <v>416</v>
      </c>
    </row>
    <row r="55" spans="1:2" ht="12.75">
      <c r="A55" s="626"/>
      <c r="B55" s="264" t="s">
        <v>417</v>
      </c>
    </row>
    <row r="56" spans="1:2" ht="12.75">
      <c r="A56" s="626"/>
      <c r="B56" s="264" t="s">
        <v>418</v>
      </c>
    </row>
    <row r="57" spans="1:2" ht="12.75" customHeight="1">
      <c r="A57" s="626"/>
      <c r="B57" s="264" t="s">
        <v>1246</v>
      </c>
    </row>
    <row r="58" spans="1:2" ht="12.75">
      <c r="A58" s="626"/>
      <c r="B58" s="264" t="s">
        <v>421</v>
      </c>
    </row>
    <row r="59" spans="1:2" ht="12.75">
      <c r="A59" s="626"/>
      <c r="B59" s="264" t="s">
        <v>422</v>
      </c>
    </row>
    <row r="60" spans="1:2" ht="12.75">
      <c r="A60" s="626"/>
      <c r="B60" s="264" t="s">
        <v>423</v>
      </c>
    </row>
    <row r="61" spans="1:2" ht="12.75">
      <c r="A61" s="626"/>
      <c r="B61" s="264" t="s">
        <v>426</v>
      </c>
    </row>
    <row r="62" spans="1:2" ht="12.75" customHeight="1">
      <c r="A62" s="626"/>
      <c r="B62" s="264" t="s">
        <v>428</v>
      </c>
    </row>
    <row r="63" spans="1:2" ht="13.5" thickBot="1">
      <c r="A63" s="629"/>
      <c r="B63" s="263" t="s">
        <v>429</v>
      </c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10" ht="12.75">
      <c r="A73"/>
      <c r="B73"/>
      <c r="J73" t="s">
        <v>448</v>
      </c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90" ht="12.75" customHeight="1"/>
    <row r="129" ht="12.75" customHeight="1"/>
    <row r="134" ht="12.75" customHeight="1"/>
    <row r="163" ht="12.75" customHeight="1"/>
    <row r="249" ht="12.75" customHeight="1"/>
  </sheetData>
  <sheetProtection/>
  <mergeCells count="3">
    <mergeCell ref="A2:A4"/>
    <mergeCell ref="A5:A31"/>
    <mergeCell ref="A32:A63"/>
  </mergeCells>
  <printOptions/>
  <pageMargins left="0.5729166666666666" right="0.4270833333333333" top="0.9479166666666666" bottom="0.09375" header="0.21875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7">
      <selection activeCell="F37" sqref="F37"/>
    </sheetView>
  </sheetViews>
  <sheetFormatPr defaultColWidth="9.00390625" defaultRowHeight="12.75"/>
  <cols>
    <col min="1" max="1" width="18.50390625" style="89" customWidth="1"/>
    <col min="2" max="2" width="12.625" style="90" customWidth="1"/>
    <col min="3" max="5" width="17.625" style="90" customWidth="1"/>
    <col min="6" max="6" width="18.125" style="90" customWidth="1"/>
  </cols>
  <sheetData>
    <row r="1" spans="1:6" ht="36" customHeight="1">
      <c r="A1" s="606" t="s">
        <v>207</v>
      </c>
      <c r="B1" s="606"/>
      <c r="C1" s="606"/>
      <c r="D1" s="606"/>
      <c r="E1" s="607"/>
      <c r="F1"/>
    </row>
    <row r="2" spans="1:6" ht="13.5" customHeight="1">
      <c r="A2" s="608" t="s">
        <v>208</v>
      </c>
      <c r="B2" s="608"/>
      <c r="C2" s="608"/>
      <c r="D2" s="608"/>
      <c r="E2" s="607"/>
      <c r="F2"/>
    </row>
    <row r="3" spans="1:6" ht="26.25" customHeight="1">
      <c r="A3" s="609" t="s">
        <v>209</v>
      </c>
      <c r="B3" s="609"/>
      <c r="C3" s="609"/>
      <c r="D3" s="609"/>
      <c r="E3" s="607"/>
      <c r="F3"/>
    </row>
    <row r="4" spans="1:6" ht="6.75" customHeight="1">
      <c r="A4" s="607"/>
      <c r="B4" s="607"/>
      <c r="C4" s="607"/>
      <c r="D4" s="607"/>
      <c r="E4" s="607"/>
      <c r="F4"/>
    </row>
    <row r="5" spans="1:7" ht="12.75" customHeight="1">
      <c r="A5" s="80"/>
      <c r="B5" s="81"/>
      <c r="C5" s="618" t="s">
        <v>369</v>
      </c>
      <c r="D5" s="618"/>
      <c r="E5" s="618"/>
      <c r="G5" s="83"/>
    </row>
    <row r="6" spans="1:7" ht="12.75" customHeight="1">
      <c r="A6" s="80"/>
      <c r="B6" s="81"/>
      <c r="C6" s="82"/>
      <c r="D6" s="82"/>
      <c r="E6" s="82"/>
      <c r="F6" s="13"/>
      <c r="G6" s="83"/>
    </row>
    <row r="7" spans="1:8" s="14" customFormat="1" ht="17.25" customHeight="1">
      <c r="A7" s="84"/>
      <c r="B7" s="81"/>
      <c r="C7" s="81"/>
      <c r="D7" s="162" t="s">
        <v>370</v>
      </c>
      <c r="E7" s="82"/>
      <c r="F7" s="85"/>
      <c r="G7" s="86"/>
      <c r="H7" s="86"/>
    </row>
    <row r="8" spans="1:8" s="14" customFormat="1" ht="9.75" customHeight="1" thickBot="1">
      <c r="A8" s="84"/>
      <c r="B8" s="81"/>
      <c r="C8" s="81"/>
      <c r="D8" s="82"/>
      <c r="E8" s="82"/>
      <c r="F8" s="13"/>
      <c r="G8" s="83"/>
      <c r="H8" s="86"/>
    </row>
    <row r="9" spans="1:7" s="14" customFormat="1" ht="12.75" customHeight="1" thickBot="1">
      <c r="A9" s="390" t="s">
        <v>210</v>
      </c>
      <c r="B9" s="631" t="s">
        <v>738</v>
      </c>
      <c r="C9" s="632"/>
      <c r="D9" s="633"/>
      <c r="E9" s="613" t="s">
        <v>371</v>
      </c>
      <c r="F9" s="86"/>
      <c r="G9" s="86"/>
    </row>
    <row r="10" spans="1:7" s="14" customFormat="1" ht="12.75" customHeight="1" thickBot="1">
      <c r="A10" s="389" t="s">
        <v>372</v>
      </c>
      <c r="B10" s="279" t="s">
        <v>739</v>
      </c>
      <c r="C10" s="280" t="s">
        <v>735</v>
      </c>
      <c r="D10" s="281" t="s">
        <v>737</v>
      </c>
      <c r="E10" s="613"/>
      <c r="F10" s="86"/>
      <c r="G10" s="86"/>
    </row>
    <row r="11" spans="1:7" s="14" customFormat="1" ht="12.75" customHeight="1">
      <c r="A11" s="386" t="s">
        <v>740</v>
      </c>
      <c r="B11" s="276">
        <f>70*Главная!B134</f>
        <v>2373</v>
      </c>
      <c r="C11" s="277">
        <f>73.5*Главная!B134</f>
        <v>2491.65</v>
      </c>
      <c r="D11" s="278">
        <f>84.9*Главная!B134</f>
        <v>2878.11</v>
      </c>
      <c r="E11" s="266">
        <v>15</v>
      </c>
      <c r="F11" s="86"/>
      <c r="G11" s="86"/>
    </row>
    <row r="12" spans="1:7" s="14" customFormat="1" ht="12.75" customHeight="1">
      <c r="A12" s="387" t="s">
        <v>162</v>
      </c>
      <c r="B12" s="270">
        <f>81.4*Главная!B134</f>
        <v>2759.46</v>
      </c>
      <c r="C12" s="271">
        <f>85.5*Главная!B134</f>
        <v>2898.45</v>
      </c>
      <c r="D12" s="272">
        <f>98.7*Главная!B134</f>
        <v>3345.93</v>
      </c>
      <c r="E12" s="267">
        <v>12</v>
      </c>
      <c r="F12" s="86"/>
      <c r="G12" s="86"/>
    </row>
    <row r="13" spans="1:7" s="14" customFormat="1" ht="12.75" customHeight="1" thickBot="1">
      <c r="A13" s="388" t="s">
        <v>741</v>
      </c>
      <c r="B13" s="273">
        <f>87*Главная!B134</f>
        <v>2949.2999999999997</v>
      </c>
      <c r="C13" s="274">
        <f>91.3*Главная!B134</f>
        <v>3095.0699999999997</v>
      </c>
      <c r="D13" s="275">
        <f>105.5*Главная!B134</f>
        <v>3576.45</v>
      </c>
      <c r="E13" s="268">
        <v>12</v>
      </c>
      <c r="F13" s="86"/>
      <c r="G13" s="86"/>
    </row>
    <row r="14" spans="1:8" s="14" customFormat="1" ht="12.75" customHeight="1">
      <c r="A14" s="87"/>
      <c r="B14" s="23"/>
      <c r="C14" s="88"/>
      <c r="D14" s="250"/>
      <c r="E14" s="88"/>
      <c r="F14" s="85"/>
      <c r="G14" s="269"/>
      <c r="H14" s="86"/>
    </row>
    <row r="15" spans="1:8" s="14" customFormat="1" ht="12.75" customHeight="1">
      <c r="A15" s="87" t="s">
        <v>742</v>
      </c>
      <c r="B15" s="23"/>
      <c r="C15" s="88"/>
      <c r="D15" s="250"/>
      <c r="E15" s="88"/>
      <c r="F15" s="85"/>
      <c r="G15" s="269"/>
      <c r="H15" s="86"/>
    </row>
    <row r="16" spans="1:8" s="14" customFormat="1" ht="12.75" customHeight="1">
      <c r="A16" s="87" t="s">
        <v>214</v>
      </c>
      <c r="B16" s="23"/>
      <c r="C16" s="88"/>
      <c r="D16" s="250"/>
      <c r="E16" s="88"/>
      <c r="F16" s="85"/>
      <c r="G16" s="269"/>
      <c r="H16" s="86"/>
    </row>
    <row r="17" spans="1:8" s="14" customFormat="1" ht="12.75" customHeight="1">
      <c r="A17" s="87"/>
      <c r="B17" s="23"/>
      <c r="C17" s="88"/>
      <c r="D17" s="250"/>
      <c r="E17" s="88"/>
      <c r="F17" s="85"/>
      <c r="G17" s="269"/>
      <c r="H17" s="86"/>
    </row>
    <row r="18" spans="1:7" s="14" customFormat="1" ht="12.75" customHeight="1">
      <c r="A18" s="421" t="s">
        <v>743</v>
      </c>
      <c r="B18" s="422" t="s">
        <v>744</v>
      </c>
      <c r="C18" s="423"/>
      <c r="D18" s="424"/>
      <c r="E18" s="423"/>
      <c r="F18" s="425"/>
      <c r="G18" s="426"/>
    </row>
    <row r="19" spans="1:7" s="14" customFormat="1" ht="12.75" customHeight="1">
      <c r="A19" s="427"/>
      <c r="B19" s="225"/>
      <c r="C19" s="423"/>
      <c r="D19" s="424"/>
      <c r="E19" s="423"/>
      <c r="F19" s="425"/>
      <c r="G19" s="426"/>
    </row>
    <row r="20" spans="1:7" s="14" customFormat="1" ht="12.75" customHeight="1">
      <c r="A20" s="630" t="s">
        <v>735</v>
      </c>
      <c r="B20" s="422" t="s">
        <v>745</v>
      </c>
      <c r="C20" s="422" t="s">
        <v>379</v>
      </c>
      <c r="D20" s="422" t="s">
        <v>380</v>
      </c>
      <c r="E20" s="422" t="s">
        <v>382</v>
      </c>
      <c r="F20" s="422" t="s">
        <v>383</v>
      </c>
      <c r="G20" s="422" t="s">
        <v>746</v>
      </c>
    </row>
    <row r="21" spans="1:7" s="14" customFormat="1" ht="12.75" customHeight="1">
      <c r="A21" s="630"/>
      <c r="B21" s="422" t="s">
        <v>747</v>
      </c>
      <c r="C21" s="422" t="s">
        <v>749</v>
      </c>
      <c r="D21" s="422" t="s">
        <v>550</v>
      </c>
      <c r="E21" s="422" t="s">
        <v>750</v>
      </c>
      <c r="F21" s="422" t="s">
        <v>425</v>
      </c>
      <c r="G21" s="429"/>
    </row>
    <row r="22" spans="1:7" s="14" customFormat="1" ht="12.75" customHeight="1">
      <c r="A22" s="225"/>
      <c r="B22" s="430"/>
      <c r="C22" s="430"/>
      <c r="D22" s="430"/>
      <c r="E22" s="430"/>
      <c r="F22" s="430"/>
      <c r="G22" s="430"/>
    </row>
    <row r="23" spans="1:7" s="14" customFormat="1" ht="12.75" customHeight="1">
      <c r="A23" s="428" t="s">
        <v>737</v>
      </c>
      <c r="B23" s="422" t="s">
        <v>381</v>
      </c>
      <c r="C23" s="422" t="s">
        <v>751</v>
      </c>
      <c r="D23" s="422" t="s">
        <v>748</v>
      </c>
      <c r="E23" s="422" t="s">
        <v>752</v>
      </c>
      <c r="F23" s="425"/>
      <c r="G23" s="426"/>
    </row>
    <row r="24" spans="1:7" s="14" customFormat="1" ht="12.75" customHeight="1">
      <c r="A24" s="87"/>
      <c r="B24" s="23"/>
      <c r="C24" s="88"/>
      <c r="D24" s="88"/>
      <c r="E24" s="88"/>
      <c r="F24" s="85"/>
      <c r="G24" s="269"/>
    </row>
    <row r="25" spans="1:7" s="14" customFormat="1" ht="12.75" customHeight="1">
      <c r="A25" s="87"/>
      <c r="B25" s="23"/>
      <c r="C25" s="88"/>
      <c r="D25" s="250"/>
      <c r="E25" s="88"/>
      <c r="F25" s="85"/>
      <c r="G25" s="269"/>
    </row>
    <row r="26" spans="1:7" s="14" customFormat="1" ht="12.75" customHeight="1">
      <c r="A26" s="87"/>
      <c r="B26" s="23"/>
      <c r="C26" s="88"/>
      <c r="D26" s="250"/>
      <c r="E26" s="88"/>
      <c r="F26" s="85"/>
      <c r="G26" s="269"/>
    </row>
    <row r="27" spans="1:7" s="14" customFormat="1" ht="12.75" customHeight="1">
      <c r="A27" s="251" t="s">
        <v>736</v>
      </c>
      <c r="B27" s="252"/>
      <c r="C27" s="250"/>
      <c r="D27" s="81"/>
      <c r="E27" s="82"/>
      <c r="F27" s="85"/>
      <c r="G27" s="269"/>
    </row>
    <row r="28" spans="1:7" s="14" customFormat="1" ht="12.75" customHeight="1">
      <c r="A28" s="89"/>
      <c r="B28" s="90"/>
      <c r="C28" s="90"/>
      <c r="D28" s="253"/>
      <c r="E28" s="253"/>
      <c r="F28" s="82"/>
      <c r="G28"/>
    </row>
    <row r="29" spans="1:7" s="14" customFormat="1" ht="12.75" customHeight="1">
      <c r="A29" s="616" t="s">
        <v>1247</v>
      </c>
      <c r="B29" s="616"/>
      <c r="C29" s="616"/>
      <c r="D29" s="616"/>
      <c r="E29" s="23"/>
      <c r="F29" s="82"/>
      <c r="G29"/>
    </row>
    <row r="30" spans="1:3" s="14" customFormat="1" ht="12.75" customHeight="1">
      <c r="A30" s="82"/>
      <c r="B30"/>
      <c r="C30" s="86"/>
    </row>
    <row r="31" spans="1:3" s="14" customFormat="1" ht="12.75" customHeight="1">
      <c r="A31" s="13"/>
      <c r="B31"/>
      <c r="C31" s="86"/>
    </row>
    <row r="32" spans="1:3" s="14" customFormat="1" ht="12.75" customHeight="1">
      <c r="A32" s="188"/>
      <c r="B32"/>
      <c r="C32" s="86"/>
    </row>
    <row r="33" spans="1:8" s="14" customFormat="1" ht="12.75" customHeight="1">
      <c r="A33" s="23"/>
      <c r="B33" s="23"/>
      <c r="C33" s="23"/>
      <c r="D33" s="23"/>
      <c r="E33" s="23"/>
      <c r="F33"/>
      <c r="G33"/>
      <c r="H33" s="86"/>
    </row>
    <row r="34" spans="1:8" s="14" customFormat="1" ht="12.75" customHeight="1">
      <c r="A34" s="616" t="s">
        <v>753</v>
      </c>
      <c r="B34" s="616"/>
      <c r="C34" s="616"/>
      <c r="D34" s="616"/>
      <c r="E34" s="616"/>
      <c r="F34"/>
      <c r="G34"/>
      <c r="H34" s="86"/>
    </row>
    <row r="35" spans="1:8" s="14" customFormat="1" ht="9.75" customHeight="1">
      <c r="A35" s="84"/>
      <c r="B35" s="81"/>
      <c r="C35" s="81"/>
      <c r="D35" s="162"/>
      <c r="E35" s="82"/>
      <c r="F35" s="85"/>
      <c r="G35" s="86"/>
      <c r="H35" s="86"/>
    </row>
    <row r="36" spans="1:8" s="14" customFormat="1" ht="9.75" customHeight="1">
      <c r="A36" s="84"/>
      <c r="B36" s="81"/>
      <c r="C36" s="81"/>
      <c r="D36" s="162"/>
      <c r="E36" s="82"/>
      <c r="F36" s="85"/>
      <c r="G36" s="86"/>
      <c r="H36" s="86"/>
    </row>
    <row r="37" spans="1:8" s="14" customFormat="1" ht="10.5" customHeight="1">
      <c r="A37" s="23"/>
      <c r="B37" s="25"/>
      <c r="C37" s="25"/>
      <c r="D37" s="23"/>
      <c r="E37" s="23"/>
      <c r="F37"/>
      <c r="G37" s="86"/>
      <c r="H37" s="86"/>
    </row>
    <row r="38" spans="1:6" ht="18.75" customHeight="1">
      <c r="A38" s="23"/>
      <c r="B38" s="254"/>
      <c r="C38" s="255"/>
      <c r="D38" s="23"/>
      <c r="E38" s="23"/>
      <c r="F38"/>
    </row>
    <row r="39" spans="1:6" ht="12.75">
      <c r="A39"/>
      <c r="B39"/>
      <c r="C39"/>
      <c r="D39"/>
      <c r="E39"/>
      <c r="F39"/>
    </row>
    <row r="40" spans="2:6" ht="40.5" customHeight="1">
      <c r="B40"/>
      <c r="C40"/>
      <c r="D40"/>
      <c r="E40"/>
      <c r="F40"/>
    </row>
    <row r="41" spans="2:6" ht="10.5" customHeight="1">
      <c r="B41"/>
      <c r="C41"/>
      <c r="D41"/>
      <c r="E41"/>
      <c r="F41"/>
    </row>
    <row r="42" spans="2:6" ht="12.75" customHeight="1">
      <c r="B42"/>
      <c r="C42"/>
      <c r="D42"/>
      <c r="E42"/>
      <c r="F42"/>
    </row>
  </sheetData>
  <sheetProtection/>
  <mergeCells count="11">
    <mergeCell ref="B9:D9"/>
    <mergeCell ref="A34:E34"/>
    <mergeCell ref="A4:E4"/>
    <mergeCell ref="C5:E5"/>
    <mergeCell ref="A20:A21"/>
    <mergeCell ref="A29:D29"/>
    <mergeCell ref="A1:D1"/>
    <mergeCell ref="E1:E3"/>
    <mergeCell ref="A2:D2"/>
    <mergeCell ref="A3:D3"/>
    <mergeCell ref="E9:E10"/>
  </mergeCells>
  <hyperlinks>
    <hyperlink ref="A3:D3" r:id="rId1" display="Смотрите виды и характеристики компакт ламината KronoCompact на сайте:"/>
  </hyperlinks>
  <printOptions/>
  <pageMargins left="0.75" right="0.75" top="1.2395833333333333" bottom="1" header="0.5" footer="0.5"/>
  <pageSetup horizontalDpi="600" verticalDpi="600" orientation="portrait" paperSize="9" r:id="rId4"/>
  <headerFooter alignWithMargins="0">
    <oddHeader>&amp;C&amp;G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J34"/>
  <sheetViews>
    <sheetView view="pageLayout" zoomScaleSheetLayoutView="100" workbookViewId="0" topLeftCell="A4">
      <selection activeCell="B17" sqref="B17:D17"/>
    </sheetView>
  </sheetViews>
  <sheetFormatPr defaultColWidth="9.00390625" defaultRowHeight="12.75"/>
  <cols>
    <col min="1" max="1" width="17.00390625" style="36" customWidth="1"/>
    <col min="2" max="2" width="15.50390625" style="36" customWidth="1"/>
    <col min="3" max="3" width="8.50390625" style="36" customWidth="1"/>
    <col min="4" max="4" width="7.50390625" style="36" customWidth="1"/>
    <col min="5" max="5" width="12.50390625" style="36" customWidth="1"/>
    <col min="6" max="6" width="8.125" style="36" customWidth="1"/>
    <col min="7" max="7" width="8.875" style="36" customWidth="1"/>
    <col min="8" max="8" width="4.875" style="36" customWidth="1"/>
    <col min="9" max="9" width="8.875" style="36" customWidth="1"/>
    <col min="10" max="10" width="12.375" style="36" customWidth="1"/>
    <col min="11" max="13" width="9.125" style="36" customWidth="1"/>
    <col min="16" max="17" width="12.50390625" style="0" customWidth="1"/>
    <col min="18" max="18" width="12.875" style="0" customWidth="1"/>
  </cols>
  <sheetData>
    <row r="1" spans="1:9" ht="18" customHeight="1">
      <c r="A1" s="638"/>
      <c r="B1" s="638"/>
      <c r="C1" s="638"/>
      <c r="D1" s="143" t="s">
        <v>191</v>
      </c>
      <c r="E1" s="143"/>
      <c r="F1" s="143"/>
      <c r="G1" s="92"/>
      <c r="H1" s="92"/>
      <c r="I1" s="92"/>
    </row>
    <row r="2" spans="1:9" ht="31.5" customHeight="1">
      <c r="A2" s="639" t="s">
        <v>215</v>
      </c>
      <c r="B2" s="639"/>
      <c r="C2" s="639"/>
      <c r="D2" s="639"/>
      <c r="E2" s="639"/>
      <c r="F2" s="639"/>
      <c r="G2" s="639"/>
      <c r="H2" s="640"/>
      <c r="I2" s="640"/>
    </row>
    <row r="3" spans="1:9" ht="18" customHeight="1">
      <c r="A3" s="641" t="s">
        <v>208</v>
      </c>
      <c r="B3" s="641"/>
      <c r="C3" s="641"/>
      <c r="D3" s="641"/>
      <c r="E3" s="641"/>
      <c r="F3" s="641"/>
      <c r="G3" s="641"/>
      <c r="H3" s="640"/>
      <c r="I3" s="640"/>
    </row>
    <row r="4" spans="1:9" ht="13.5" customHeight="1">
      <c r="A4" s="642" t="s">
        <v>216</v>
      </c>
      <c r="B4" s="642"/>
      <c r="C4" s="642"/>
      <c r="D4" s="642"/>
      <c r="E4" s="642"/>
      <c r="F4" s="642"/>
      <c r="G4" s="642"/>
      <c r="H4" s="640"/>
      <c r="I4" s="640"/>
    </row>
    <row r="5" spans="1:9" ht="12.75" customHeight="1">
      <c r="A5" s="643" t="s">
        <v>217</v>
      </c>
      <c r="B5" s="643"/>
      <c r="C5" s="643"/>
      <c r="D5" s="643"/>
      <c r="E5" s="643"/>
      <c r="F5" s="643"/>
      <c r="G5" s="643"/>
      <c r="H5" s="640"/>
      <c r="I5" s="640"/>
    </row>
    <row r="6" spans="1:9" ht="12.75">
      <c r="A6" s="645"/>
      <c r="B6" s="645"/>
      <c r="C6" s="645"/>
      <c r="D6" s="645"/>
      <c r="E6" s="645"/>
      <c r="F6" s="645"/>
      <c r="G6" s="645"/>
      <c r="H6" s="645"/>
      <c r="I6" s="645"/>
    </row>
    <row r="7" spans="1:9" ht="19.5" customHeight="1">
      <c r="A7" s="646" t="s">
        <v>218</v>
      </c>
      <c r="B7" s="646"/>
      <c r="C7" s="646"/>
      <c r="D7" s="646"/>
      <c r="E7" s="646"/>
      <c r="F7" s="646"/>
      <c r="G7" s="646"/>
      <c r="H7" s="646"/>
      <c r="I7" s="165"/>
    </row>
    <row r="8" spans="1:9" ht="15" customHeight="1">
      <c r="A8" s="647" t="s">
        <v>278</v>
      </c>
      <c r="B8" s="647"/>
      <c r="C8" s="647"/>
      <c r="D8" s="647"/>
      <c r="E8" s="647"/>
      <c r="F8" s="647"/>
      <c r="G8" s="647"/>
      <c r="H8" s="647"/>
      <c r="I8" s="166"/>
    </row>
    <row r="9" spans="1:9" ht="19.5" customHeight="1">
      <c r="A9" s="648"/>
      <c r="B9" s="648"/>
      <c r="C9" s="648"/>
      <c r="D9" s="648"/>
      <c r="E9" s="648"/>
      <c r="F9" s="648"/>
      <c r="G9" s="648"/>
      <c r="I9" s="169"/>
    </row>
    <row r="10" spans="1:9" ht="20.25" customHeight="1">
      <c r="A10" s="635" t="s">
        <v>375</v>
      </c>
      <c r="B10" s="636" t="s">
        <v>219</v>
      </c>
      <c r="C10" s="636"/>
      <c r="D10" s="636"/>
      <c r="E10" s="636"/>
      <c r="F10" s="636"/>
      <c r="G10" s="636"/>
      <c r="I10" s="171"/>
    </row>
    <row r="11" spans="1:9" ht="12.75">
      <c r="A11" s="635"/>
      <c r="B11" s="637">
        <v>0.6</v>
      </c>
      <c r="C11" s="637"/>
      <c r="D11" s="637"/>
      <c r="E11" s="637">
        <v>0.8</v>
      </c>
      <c r="F11" s="637"/>
      <c r="G11" s="637"/>
      <c r="I11" s="172"/>
    </row>
    <row r="12" spans="1:9" ht="18" customHeight="1">
      <c r="A12" s="282" t="s">
        <v>574</v>
      </c>
      <c r="B12" s="634" t="s">
        <v>306</v>
      </c>
      <c r="C12" s="634"/>
      <c r="D12" s="634"/>
      <c r="E12" s="634">
        <f>9.07*Главная!B134</f>
        <v>307.473</v>
      </c>
      <c r="F12" s="634"/>
      <c r="G12" s="634"/>
      <c r="I12" s="168"/>
    </row>
    <row r="13" spans="1:9" ht="18" customHeight="1">
      <c r="A13" s="282" t="s">
        <v>575</v>
      </c>
      <c r="B13" s="634" t="s">
        <v>306</v>
      </c>
      <c r="C13" s="634"/>
      <c r="D13" s="634"/>
      <c r="E13" s="634">
        <f>9.18*Главная!B134</f>
        <v>311.202</v>
      </c>
      <c r="F13" s="634"/>
      <c r="G13" s="634"/>
      <c r="I13" s="168"/>
    </row>
    <row r="14" spans="1:9" ht="18" customHeight="1">
      <c r="A14" s="282" t="s">
        <v>577</v>
      </c>
      <c r="B14" s="634" t="s">
        <v>306</v>
      </c>
      <c r="C14" s="634"/>
      <c r="D14" s="634"/>
      <c r="E14" s="634">
        <f>9.46*Главная!B134</f>
        <v>320.694</v>
      </c>
      <c r="F14" s="634"/>
      <c r="G14" s="634"/>
      <c r="I14" s="168"/>
    </row>
    <row r="15" spans="1:9" ht="18" customHeight="1">
      <c r="A15" s="282" t="s">
        <v>578</v>
      </c>
      <c r="B15" s="634" t="s">
        <v>306</v>
      </c>
      <c r="C15" s="634"/>
      <c r="D15" s="634"/>
      <c r="E15" s="634">
        <f>9.57*Главная!B134</f>
        <v>324.423</v>
      </c>
      <c r="F15" s="634"/>
      <c r="G15" s="634"/>
      <c r="I15" s="168"/>
    </row>
    <row r="16" spans="1:9" ht="18" customHeight="1">
      <c r="A16" s="282" t="s">
        <v>579</v>
      </c>
      <c r="B16" s="634">
        <f>11.85*Главная!B134</f>
        <v>401.715</v>
      </c>
      <c r="C16" s="634"/>
      <c r="D16" s="634"/>
      <c r="E16" s="634">
        <f>13.64*Главная!B134</f>
        <v>462.396</v>
      </c>
      <c r="F16" s="634"/>
      <c r="G16" s="634"/>
      <c r="I16" s="168"/>
    </row>
    <row r="17" spans="1:9" ht="18" customHeight="1">
      <c r="A17" s="282" t="s">
        <v>754</v>
      </c>
      <c r="B17" s="634">
        <f>10.5*Главная!B134</f>
        <v>355.95</v>
      </c>
      <c r="C17" s="634"/>
      <c r="D17" s="634"/>
      <c r="E17" s="634">
        <f>12.4*Главная!B134</f>
        <v>420.36</v>
      </c>
      <c r="F17" s="634"/>
      <c r="G17" s="634"/>
      <c r="I17" s="168"/>
    </row>
    <row r="18" spans="1:9" ht="20.25" customHeight="1">
      <c r="A18" s="283" t="s">
        <v>537</v>
      </c>
      <c r="B18" s="637" t="s">
        <v>755</v>
      </c>
      <c r="C18" s="637"/>
      <c r="D18" s="637"/>
      <c r="E18" s="637" t="s">
        <v>755</v>
      </c>
      <c r="F18" s="637"/>
      <c r="G18" s="637"/>
      <c r="I18" s="168"/>
    </row>
    <row r="19" spans="1:9" ht="18" customHeight="1">
      <c r="A19" s="94"/>
      <c r="B19" s="94"/>
      <c r="C19" s="94"/>
      <c r="E19" s="94"/>
      <c r="F19" s="93"/>
      <c r="G19" s="93"/>
      <c r="I19" s="168"/>
    </row>
    <row r="20" spans="1:9" ht="25.5" customHeight="1">
      <c r="A20" s="167" t="s">
        <v>756</v>
      </c>
      <c r="B20" s="284"/>
      <c r="C20" s="162"/>
      <c r="E20" s="81"/>
      <c r="F20" s="13"/>
      <c r="I20" s="173"/>
    </row>
    <row r="21" spans="1:9" ht="30.75" customHeight="1">
      <c r="A21" s="285" t="s">
        <v>538</v>
      </c>
      <c r="B21" s="644" t="s">
        <v>757</v>
      </c>
      <c r="C21" s="644"/>
      <c r="D21" s="644"/>
      <c r="E21" s="93"/>
      <c r="F21" s="13"/>
      <c r="H21" s="168"/>
      <c r="I21" s="174"/>
    </row>
    <row r="22" spans="1:9" ht="15.75" customHeight="1">
      <c r="A22" s="283" t="s">
        <v>539</v>
      </c>
      <c r="B22" s="644" t="s">
        <v>758</v>
      </c>
      <c r="C22" s="644"/>
      <c r="D22" s="644"/>
      <c r="E22" s="93"/>
      <c r="F22" s="13"/>
      <c r="H22" s="168"/>
      <c r="I22" s="175"/>
    </row>
    <row r="23" spans="1:9" ht="18" customHeight="1">
      <c r="A23" s="283" t="s">
        <v>540</v>
      </c>
      <c r="B23" s="644" t="s">
        <v>759</v>
      </c>
      <c r="C23" s="644"/>
      <c r="D23" s="644"/>
      <c r="E23" s="95"/>
      <c r="H23" s="168"/>
      <c r="I23" s="176"/>
    </row>
    <row r="24" spans="8:9" ht="18" customHeight="1">
      <c r="H24" s="168"/>
      <c r="I24" s="176"/>
    </row>
    <row r="25" spans="1:9" ht="15" customHeight="1">
      <c r="A25" s="489" t="s">
        <v>760</v>
      </c>
      <c r="B25" s="489"/>
      <c r="C25" s="489"/>
      <c r="D25" s="489"/>
      <c r="H25" s="168"/>
      <c r="I25" s="74"/>
    </row>
    <row r="26" spans="1:9" ht="21.75" customHeight="1">
      <c r="A26" s="489" t="s">
        <v>761</v>
      </c>
      <c r="B26" s="489"/>
      <c r="C26" s="286">
        <f>0.95*Главная!B134</f>
        <v>32.205</v>
      </c>
      <c r="D26" s="91" t="s">
        <v>591</v>
      </c>
      <c r="H26" s="168"/>
      <c r="I26" s="170"/>
    </row>
    <row r="27" spans="1:7" ht="12.75">
      <c r="A27" s="95"/>
      <c r="B27" s="95"/>
      <c r="C27" s="95"/>
      <c r="D27" s="95"/>
      <c r="E27" s="95"/>
      <c r="F27" s="95"/>
      <c r="G27" s="95"/>
    </row>
    <row r="28" spans="1:7" ht="12.75">
      <c r="A28" s="13" t="s">
        <v>11</v>
      </c>
      <c r="B28" s="95"/>
      <c r="C28" s="95"/>
      <c r="D28" s="95"/>
      <c r="E28" s="95"/>
      <c r="F28" s="95"/>
      <c r="G28" s="95"/>
    </row>
    <row r="29" spans="1:7" ht="12.75">
      <c r="A29" s="95"/>
      <c r="B29" s="95"/>
      <c r="C29" s="95"/>
      <c r="D29" s="95"/>
      <c r="E29" s="95"/>
      <c r="F29" s="95"/>
      <c r="G29" s="95"/>
    </row>
    <row r="30" spans="1:10" ht="18.75" customHeight="1">
      <c r="A30"/>
      <c r="B30"/>
      <c r="C30"/>
      <c r="D30"/>
      <c r="E30"/>
      <c r="F30"/>
      <c r="G30"/>
      <c r="H30"/>
      <c r="I30"/>
      <c r="J30"/>
    </row>
    <row r="31" spans="1:9" ht="16.5" customHeight="1">
      <c r="A31"/>
      <c r="B31"/>
      <c r="C31"/>
      <c r="D31"/>
      <c r="E31"/>
      <c r="F31"/>
      <c r="G31"/>
      <c r="H31"/>
      <c r="I31"/>
    </row>
    <row r="32" spans="1:9" ht="18" customHeight="1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 customHeight="1">
      <c r="A34"/>
      <c r="B34"/>
      <c r="C34"/>
      <c r="D34"/>
      <c r="E34"/>
      <c r="F34"/>
      <c r="G34"/>
      <c r="H34"/>
      <c r="I34"/>
    </row>
  </sheetData>
  <sheetProtection/>
  <mergeCells count="33">
    <mergeCell ref="B23:D23"/>
    <mergeCell ref="E14:G14"/>
    <mergeCell ref="B15:D15"/>
    <mergeCell ref="E15:G15"/>
    <mergeCell ref="B14:D14"/>
    <mergeCell ref="A26:B26"/>
    <mergeCell ref="E16:G16"/>
    <mergeCell ref="B17:D17"/>
    <mergeCell ref="E17:G17"/>
    <mergeCell ref="B18:D18"/>
    <mergeCell ref="E18:G18"/>
    <mergeCell ref="B16:D16"/>
    <mergeCell ref="A25:D25"/>
    <mergeCell ref="B21:D21"/>
    <mergeCell ref="B22:D22"/>
    <mergeCell ref="A6:I6"/>
    <mergeCell ref="A7:H7"/>
    <mergeCell ref="A8:H8"/>
    <mergeCell ref="A9:G9"/>
    <mergeCell ref="B12:D12"/>
    <mergeCell ref="A1:C1"/>
    <mergeCell ref="A2:G2"/>
    <mergeCell ref="H2:I5"/>
    <mergeCell ref="A3:G3"/>
    <mergeCell ref="A4:G4"/>
    <mergeCell ref="A5:G5"/>
    <mergeCell ref="E12:G12"/>
    <mergeCell ref="B13:D13"/>
    <mergeCell ref="E13:G13"/>
    <mergeCell ref="A10:A11"/>
    <mergeCell ref="B10:G10"/>
    <mergeCell ref="B11:D11"/>
    <mergeCell ref="E11:G11"/>
  </mergeCells>
  <hyperlinks>
    <hyperlink ref="A5" r:id="rId1" display="http://plastics.ua/dom/products/Пластик HPL"/>
    <hyperlink ref="A28" location="Главная!A1" display="на главную"/>
  </hyperlinks>
  <printOptions/>
  <pageMargins left="0.24" right="0.23" top="0.90625" bottom="0.17" header="0.17" footer="0.17"/>
  <pageSetup horizontalDpi="600" verticalDpi="600" orientation="portrait" paperSize="9" r:id="rId4"/>
  <headerFooter alignWithMargins="0">
    <oddHeader>&amp;C&amp;G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6"/>
  <sheetViews>
    <sheetView view="pageLayout" workbookViewId="0" topLeftCell="A1">
      <selection activeCell="M15" sqref="M15"/>
    </sheetView>
  </sheetViews>
  <sheetFormatPr defaultColWidth="9.00390625" defaultRowHeight="12.75"/>
  <cols>
    <col min="1" max="1" width="23.50390625" style="197" customWidth="1"/>
    <col min="2" max="8" width="9.125" style="288" customWidth="1"/>
    <col min="9" max="10" width="9.125" style="0" customWidth="1"/>
  </cols>
  <sheetData>
    <row r="2" spans="1:8" ht="12.75">
      <c r="A2" s="158" t="s">
        <v>574</v>
      </c>
      <c r="B2" s="185" t="s">
        <v>376</v>
      </c>
      <c r="C2" s="185" t="s">
        <v>377</v>
      </c>
      <c r="D2" s="4"/>
      <c r="E2" s="4"/>
      <c r="F2" s="4"/>
      <c r="G2" s="4"/>
      <c r="H2" s="4"/>
    </row>
    <row r="3" spans="1:8" ht="12.75">
      <c r="A3" s="287"/>
      <c r="B3" s="4"/>
      <c r="C3" s="4"/>
      <c r="D3" s="4"/>
      <c r="E3" s="4"/>
      <c r="F3" s="4"/>
      <c r="G3" s="4"/>
      <c r="H3" s="4"/>
    </row>
    <row r="4" spans="1:8" ht="12.75">
      <c r="A4" s="649" t="s">
        <v>575</v>
      </c>
      <c r="B4" s="185" t="s">
        <v>378</v>
      </c>
      <c r="C4" s="185" t="s">
        <v>379</v>
      </c>
      <c r="D4" s="185" t="s">
        <v>380</v>
      </c>
      <c r="E4" s="185" t="s">
        <v>381</v>
      </c>
      <c r="F4" s="185" t="s">
        <v>382</v>
      </c>
      <c r="G4" s="185" t="s">
        <v>383</v>
      </c>
      <c r="H4" s="185" t="s">
        <v>509</v>
      </c>
    </row>
    <row r="5" spans="1:8" ht="12.75">
      <c r="A5" s="649"/>
      <c r="B5" s="185" t="s">
        <v>428</v>
      </c>
      <c r="C5" s="185" t="s">
        <v>384</v>
      </c>
      <c r="D5" s="185" t="s">
        <v>385</v>
      </c>
      <c r="E5" s="185" t="s">
        <v>386</v>
      </c>
      <c r="F5" s="185" t="s">
        <v>387</v>
      </c>
      <c r="G5" s="185" t="s">
        <v>388</v>
      </c>
      <c r="H5" s="185" t="s">
        <v>389</v>
      </c>
    </row>
    <row r="6" spans="1:8" ht="12.75">
      <c r="A6" s="649"/>
      <c r="B6" s="185" t="s">
        <v>390</v>
      </c>
      <c r="C6" s="185" t="s">
        <v>391</v>
      </c>
      <c r="D6" s="185" t="s">
        <v>392</v>
      </c>
      <c r="E6" s="185" t="s">
        <v>393</v>
      </c>
      <c r="F6" s="185" t="s">
        <v>394</v>
      </c>
      <c r="G6" s="185" t="s">
        <v>395</v>
      </c>
      <c r="H6" s="185" t="s">
        <v>396</v>
      </c>
    </row>
    <row r="7" spans="1:8" ht="12.75">
      <c r="A7" s="649"/>
      <c r="B7" s="185" t="s">
        <v>397</v>
      </c>
      <c r="C7" s="185" t="s">
        <v>550</v>
      </c>
      <c r="D7" s="185" t="s">
        <v>398</v>
      </c>
      <c r="E7" s="185" t="s">
        <v>399</v>
      </c>
      <c r="F7" s="185" t="s">
        <v>400</v>
      </c>
      <c r="G7" s="185" t="s">
        <v>401</v>
      </c>
      <c r="H7" s="185" t="s">
        <v>402</v>
      </c>
    </row>
    <row r="8" spans="1:8" ht="12.75">
      <c r="A8" s="649"/>
      <c r="B8" s="185" t="s">
        <v>403</v>
      </c>
      <c r="C8" s="185" t="s">
        <v>404</v>
      </c>
      <c r="D8" s="185" t="s">
        <v>405</v>
      </c>
      <c r="E8" s="185" t="s">
        <v>406</v>
      </c>
      <c r="F8" s="185" t="s">
        <v>407</v>
      </c>
      <c r="G8" s="185" t="s">
        <v>429</v>
      </c>
      <c r="H8" s="185" t="s">
        <v>409</v>
      </c>
    </row>
    <row r="9" spans="1:8" ht="12.75">
      <c r="A9" s="649"/>
      <c r="B9" s="185" t="s">
        <v>410</v>
      </c>
      <c r="C9" s="185" t="s">
        <v>411</v>
      </c>
      <c r="D9" s="185" t="s">
        <v>412</v>
      </c>
      <c r="E9" s="185" t="s">
        <v>551</v>
      </c>
      <c r="F9" s="185" t="s">
        <v>414</v>
      </c>
      <c r="G9" s="185" t="s">
        <v>415</v>
      </c>
      <c r="H9" s="185" t="s">
        <v>416</v>
      </c>
    </row>
    <row r="10" spans="1:8" ht="12.75">
      <c r="A10" s="649"/>
      <c r="B10" s="185" t="s">
        <v>417</v>
      </c>
      <c r="C10" s="185" t="s">
        <v>418</v>
      </c>
      <c r="D10" s="185" t="s">
        <v>419</v>
      </c>
      <c r="E10" s="185" t="s">
        <v>420</v>
      </c>
      <c r="F10" s="185" t="s">
        <v>421</v>
      </c>
      <c r="G10" s="185" t="s">
        <v>422</v>
      </c>
      <c r="H10" s="185" t="s">
        <v>423</v>
      </c>
    </row>
    <row r="11" spans="1:8" ht="12.75">
      <c r="A11" s="649"/>
      <c r="B11" s="185" t="s">
        <v>424</v>
      </c>
      <c r="C11" s="185" t="s">
        <v>425</v>
      </c>
      <c r="D11" s="185" t="s">
        <v>426</v>
      </c>
      <c r="E11" s="185" t="s">
        <v>427</v>
      </c>
      <c r="F11" s="185" t="s">
        <v>430</v>
      </c>
      <c r="G11" s="185" t="s">
        <v>431</v>
      </c>
      <c r="H11" s="185" t="s">
        <v>432</v>
      </c>
    </row>
    <row r="12" spans="1:8" ht="12.75">
      <c r="A12" s="649"/>
      <c r="B12" s="185" t="s">
        <v>433</v>
      </c>
      <c r="C12" s="185" t="s">
        <v>434</v>
      </c>
      <c r="F12" s="4"/>
      <c r="G12" s="4"/>
      <c r="H12" s="178"/>
    </row>
    <row r="13" spans="1:10" ht="12.75">
      <c r="A13" s="289"/>
      <c r="B13" s="4"/>
      <c r="C13" s="4"/>
      <c r="D13" s="4"/>
      <c r="E13" s="4"/>
      <c r="F13" s="4"/>
      <c r="G13" s="4"/>
      <c r="H13" s="4"/>
      <c r="I13" s="4"/>
      <c r="J13" s="4"/>
    </row>
    <row r="14" spans="1:8" ht="12.75">
      <c r="A14" s="649" t="s">
        <v>577</v>
      </c>
      <c r="B14" s="185" t="s">
        <v>466</v>
      </c>
      <c r="C14" s="185" t="s">
        <v>467</v>
      </c>
      <c r="D14" s="185" t="s">
        <v>468</v>
      </c>
      <c r="E14" s="185" t="s">
        <v>469</v>
      </c>
      <c r="F14" s="185" t="s">
        <v>470</v>
      </c>
      <c r="G14" s="185" t="s">
        <v>471</v>
      </c>
      <c r="H14" s="185" t="s">
        <v>472</v>
      </c>
    </row>
    <row r="15" spans="1:8" ht="12.75">
      <c r="A15" s="649"/>
      <c r="B15" s="185" t="s">
        <v>473</v>
      </c>
      <c r="C15" s="185" t="s">
        <v>474</v>
      </c>
      <c r="D15" s="185" t="s">
        <v>475</v>
      </c>
      <c r="E15" s="185" t="s">
        <v>476</v>
      </c>
      <c r="F15" s="185" t="s">
        <v>484</v>
      </c>
      <c r="G15" s="185" t="s">
        <v>485</v>
      </c>
      <c r="H15" s="185" t="s">
        <v>486</v>
      </c>
    </row>
    <row r="16" spans="1:5" ht="12.75">
      <c r="A16" s="649"/>
      <c r="B16" s="185" t="s">
        <v>481</v>
      </c>
      <c r="C16" s="185" t="s">
        <v>488</v>
      </c>
      <c r="D16" s="185" t="s">
        <v>489</v>
      </c>
      <c r="E16" s="185" t="s">
        <v>490</v>
      </c>
    </row>
    <row r="17" ht="12.75">
      <c r="A17" s="290"/>
    </row>
    <row r="18" spans="1:8" ht="12.75">
      <c r="A18" s="650" t="s">
        <v>578</v>
      </c>
      <c r="B18" s="185" t="s">
        <v>491</v>
      </c>
      <c r="C18" s="185" t="s">
        <v>492</v>
      </c>
      <c r="D18" s="185" t="s">
        <v>493</v>
      </c>
      <c r="E18" s="185" t="s">
        <v>494</v>
      </c>
      <c r="F18" s="185" t="s">
        <v>495</v>
      </c>
      <c r="G18" s="185" t="s">
        <v>496</v>
      </c>
      <c r="H18" s="185" t="s">
        <v>497</v>
      </c>
    </row>
    <row r="19" spans="1:8" ht="12.75">
      <c r="A19" s="650"/>
      <c r="B19" s="185" t="s">
        <v>553</v>
      </c>
      <c r="C19" s="185" t="s">
        <v>554</v>
      </c>
      <c r="D19" s="185" t="s">
        <v>555</v>
      </c>
      <c r="E19" s="185" t="s">
        <v>512</v>
      </c>
      <c r="F19" s="185" t="s">
        <v>556</v>
      </c>
      <c r="G19" s="185" t="s">
        <v>557</v>
      </c>
      <c r="H19" s="185" t="s">
        <v>558</v>
      </c>
    </row>
    <row r="20" spans="1:8" ht="12.75">
      <c r="A20" s="650"/>
      <c r="B20" s="185" t="s">
        <v>559</v>
      </c>
      <c r="C20" s="185" t="s">
        <v>498</v>
      </c>
      <c r="D20" s="185" t="s">
        <v>499</v>
      </c>
      <c r="E20" s="185" t="s">
        <v>500</v>
      </c>
      <c r="F20" s="185" t="s">
        <v>501</v>
      </c>
      <c r="G20" s="185" t="s">
        <v>502</v>
      </c>
      <c r="H20" s="185" t="s">
        <v>503</v>
      </c>
    </row>
    <row r="21" spans="1:8" ht="12.75">
      <c r="A21" s="650"/>
      <c r="B21" s="185" t="s">
        <v>504</v>
      </c>
      <c r="C21" s="185" t="s">
        <v>477</v>
      </c>
      <c r="D21" s="185" t="s">
        <v>552</v>
      </c>
      <c r="E21" s="185" t="s">
        <v>479</v>
      </c>
      <c r="F21" s="185" t="s">
        <v>480</v>
      </c>
      <c r="G21" s="185" t="s">
        <v>482</v>
      </c>
      <c r="H21" s="185" t="s">
        <v>483</v>
      </c>
    </row>
    <row r="22" spans="1:8" ht="12.75">
      <c r="A22" s="650"/>
      <c r="B22" s="185" t="s">
        <v>487</v>
      </c>
      <c r="C22" s="185" t="s">
        <v>510</v>
      </c>
      <c r="D22" s="185" t="s">
        <v>511</v>
      </c>
      <c r="E22" s="185" t="s">
        <v>513</v>
      </c>
      <c r="F22" s="185" t="s">
        <v>446</v>
      </c>
      <c r="G22" s="185" t="s">
        <v>447</v>
      </c>
      <c r="H22" s="185" t="s">
        <v>451</v>
      </c>
    </row>
    <row r="23" spans="1:8" ht="12.75">
      <c r="A23" s="650"/>
      <c r="B23" s="185" t="s">
        <v>452</v>
      </c>
      <c r="C23" s="185" t="s">
        <v>453</v>
      </c>
      <c r="D23" s="185" t="s">
        <v>460</v>
      </c>
      <c r="E23" s="185" t="s">
        <v>461</v>
      </c>
      <c r="F23" s="185" t="s">
        <v>440</v>
      </c>
      <c r="G23" s="185" t="s">
        <v>441</v>
      </c>
      <c r="H23" s="185" t="s">
        <v>442</v>
      </c>
    </row>
    <row r="24" spans="1:8" ht="12.75">
      <c r="A24" s="650"/>
      <c r="B24" s="185" t="s">
        <v>443</v>
      </c>
      <c r="C24" s="185" t="s">
        <v>444</v>
      </c>
      <c r="D24" s="185" t="s">
        <v>445</v>
      </c>
      <c r="E24" s="185" t="s">
        <v>449</v>
      </c>
      <c r="F24" s="185" t="s">
        <v>450</v>
      </c>
      <c r="G24" s="185" t="s">
        <v>454</v>
      </c>
      <c r="H24" s="185" t="s">
        <v>455</v>
      </c>
    </row>
    <row r="25" spans="1:8" ht="12.75">
      <c r="A25" s="650"/>
      <c r="B25" s="185" t="s">
        <v>456</v>
      </c>
      <c r="C25" s="185" t="s">
        <v>457</v>
      </c>
      <c r="D25" s="185" t="s">
        <v>458</v>
      </c>
      <c r="E25" s="185" t="s">
        <v>459</v>
      </c>
      <c r="F25" s="185" t="s">
        <v>462</v>
      </c>
      <c r="G25" s="185" t="s">
        <v>463</v>
      </c>
      <c r="H25" s="185" t="s">
        <v>464</v>
      </c>
    </row>
    <row r="26" spans="1:8" ht="12.75">
      <c r="A26" s="650"/>
      <c r="B26" s="185" t="s">
        <v>436</v>
      </c>
      <c r="C26" s="185" t="s">
        <v>437</v>
      </c>
      <c r="D26" s="185" t="s">
        <v>438</v>
      </c>
      <c r="E26" s="185" t="s">
        <v>439</v>
      </c>
      <c r="F26" s="185" t="s">
        <v>507</v>
      </c>
      <c r="G26" s="185" t="s">
        <v>505</v>
      </c>
      <c r="H26" s="185" t="s">
        <v>506</v>
      </c>
    </row>
    <row r="27" spans="1:8" ht="12.75">
      <c r="A27" s="650"/>
      <c r="B27" s="185" t="s">
        <v>532</v>
      </c>
      <c r="C27" s="185" t="s">
        <v>762</v>
      </c>
      <c r="D27" s="185" t="s">
        <v>763</v>
      </c>
      <c r="E27" s="185" t="s">
        <v>523</v>
      </c>
      <c r="F27" s="185" t="s">
        <v>524</v>
      </c>
      <c r="G27" s="185" t="s">
        <v>525</v>
      </c>
      <c r="H27" s="185" t="s">
        <v>526</v>
      </c>
    </row>
    <row r="28" spans="1:8" ht="12.75">
      <c r="A28" s="650"/>
      <c r="B28" s="185" t="s">
        <v>529</v>
      </c>
      <c r="C28" s="185" t="s">
        <v>530</v>
      </c>
      <c r="D28" s="185" t="s">
        <v>764</v>
      </c>
      <c r="E28" s="185" t="s">
        <v>408</v>
      </c>
      <c r="F28" s="185" t="s">
        <v>508</v>
      </c>
      <c r="G28" s="185" t="s">
        <v>564</v>
      </c>
      <c r="H28" s="185" t="s">
        <v>527</v>
      </c>
    </row>
    <row r="29" spans="1:8" ht="12.75">
      <c r="A29" s="650"/>
      <c r="B29" s="185" t="s">
        <v>528</v>
      </c>
      <c r="C29" s="185" t="s">
        <v>531</v>
      </c>
      <c r="D29" s="185" t="s">
        <v>534</v>
      </c>
      <c r="E29" s="185" t="s">
        <v>561</v>
      </c>
      <c r="F29" s="185" t="s">
        <v>588</v>
      </c>
      <c r="G29" s="185" t="s">
        <v>515</v>
      </c>
      <c r="H29" s="185" t="s">
        <v>516</v>
      </c>
    </row>
    <row r="30" spans="1:8" ht="12.75">
      <c r="A30" s="650"/>
      <c r="B30" s="185" t="s">
        <v>518</v>
      </c>
      <c r="C30" s="185" t="s">
        <v>519</v>
      </c>
      <c r="D30" s="185" t="s">
        <v>520</v>
      </c>
      <c r="E30" s="185" t="s">
        <v>521</v>
      </c>
      <c r="F30" s="185" t="s">
        <v>522</v>
      </c>
      <c r="G30" s="185" t="s">
        <v>533</v>
      </c>
      <c r="H30" s="185" t="s">
        <v>560</v>
      </c>
    </row>
    <row r="31" spans="1:8" ht="12.75">
      <c r="A31" s="650"/>
      <c r="B31" s="291" t="s">
        <v>765</v>
      </c>
      <c r="C31" s="291" t="s">
        <v>562</v>
      </c>
      <c r="D31" s="291" t="s">
        <v>563</v>
      </c>
      <c r="E31" s="4"/>
      <c r="F31" s="4"/>
      <c r="G31" s="4"/>
      <c r="H31" s="4"/>
    </row>
    <row r="32" spans="1:8" ht="12.75">
      <c r="A32" s="287"/>
      <c r="C32" s="179"/>
      <c r="D32" s="179"/>
      <c r="E32" s="179"/>
      <c r="F32" s="179"/>
      <c r="G32" s="4"/>
      <c r="H32" s="4"/>
    </row>
    <row r="33" spans="1:8" ht="12.75">
      <c r="A33" s="292" t="s">
        <v>579</v>
      </c>
      <c r="B33" s="185" t="s">
        <v>514</v>
      </c>
      <c r="C33" s="185" t="s">
        <v>517</v>
      </c>
      <c r="D33" s="185" t="s">
        <v>565</v>
      </c>
      <c r="E33" s="185" t="s">
        <v>566</v>
      </c>
      <c r="F33" s="293" t="s">
        <v>567</v>
      </c>
      <c r="G33" s="185" t="s">
        <v>568</v>
      </c>
      <c r="H33" s="4"/>
    </row>
    <row r="34" spans="1:8" ht="12.75">
      <c r="A34" s="292"/>
      <c r="B34" s="177"/>
      <c r="C34" s="177"/>
      <c r="D34" s="177"/>
      <c r="E34" s="177"/>
      <c r="F34" s="177"/>
      <c r="G34" s="179"/>
      <c r="H34" s="4"/>
    </row>
    <row r="35" spans="1:8" ht="12.75">
      <c r="A35" s="649" t="s">
        <v>754</v>
      </c>
      <c r="B35" s="185" t="s">
        <v>541</v>
      </c>
      <c r="C35" s="185" t="s">
        <v>542</v>
      </c>
      <c r="D35" s="185" t="s">
        <v>543</v>
      </c>
      <c r="E35" s="185" t="s">
        <v>544</v>
      </c>
      <c r="F35" s="185" t="s">
        <v>545</v>
      </c>
      <c r="G35" s="185" t="s">
        <v>546</v>
      </c>
      <c r="H35" s="185" t="s">
        <v>547</v>
      </c>
    </row>
    <row r="36" spans="1:4" ht="12.75">
      <c r="A36" s="649"/>
      <c r="B36" s="294" t="s">
        <v>576</v>
      </c>
      <c r="C36" s="185" t="s">
        <v>548</v>
      </c>
      <c r="D36" s="185" t="s">
        <v>549</v>
      </c>
    </row>
  </sheetData>
  <sheetProtection/>
  <mergeCells count="4">
    <mergeCell ref="A4:A12"/>
    <mergeCell ref="A14:A16"/>
    <mergeCell ref="A18:A31"/>
    <mergeCell ref="A35:A36"/>
  </mergeCells>
  <printOptions/>
  <pageMargins left="0.75" right="0.75" top="1.1979166666666667" bottom="1" header="0.5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N98"/>
  <sheetViews>
    <sheetView view="pageLayout" zoomScaleSheetLayoutView="85" workbookViewId="0" topLeftCell="A9">
      <selection activeCell="J11" sqref="J11"/>
    </sheetView>
  </sheetViews>
  <sheetFormatPr defaultColWidth="9.125" defaultRowHeight="12.75"/>
  <cols>
    <col min="1" max="1" width="17.50390625" style="123" customWidth="1"/>
    <col min="2" max="2" width="10.875" style="124" customWidth="1"/>
    <col min="3" max="4" width="11.875" style="123" bestFit="1" customWidth="1"/>
    <col min="5" max="5" width="12.625" style="123" bestFit="1" customWidth="1"/>
    <col min="6" max="6" width="10.625" style="123" bestFit="1" customWidth="1"/>
    <col min="7" max="8" width="11.875" style="123" bestFit="1" customWidth="1"/>
    <col min="9" max="9" width="10.125" style="123" bestFit="1" customWidth="1"/>
    <col min="10" max="10" width="10.875" style="123" bestFit="1" customWidth="1"/>
    <col min="11" max="16384" width="9.125" style="123" customWidth="1"/>
  </cols>
  <sheetData>
    <row r="1" s="96" customFormat="1" ht="36" customHeight="1">
      <c r="B1" s="97"/>
    </row>
    <row r="2" spans="1:10" s="96" customFormat="1" ht="17.25">
      <c r="A2" s="652" t="s">
        <v>220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10" s="96" customFormat="1" ht="14.25" customHeight="1">
      <c r="A3" s="99"/>
      <c r="B3" s="98"/>
      <c r="C3" s="98"/>
      <c r="D3" s="98"/>
      <c r="E3" s="98"/>
      <c r="F3" s="98"/>
      <c r="G3" s="98"/>
      <c r="H3" s="98"/>
      <c r="I3" s="98"/>
      <c r="J3" s="98"/>
    </row>
    <row r="4" spans="1:14" s="96" customFormat="1" ht="14.25" customHeight="1">
      <c r="A4" s="100"/>
      <c r="B4" s="101"/>
      <c r="C4" s="101"/>
      <c r="D4" s="101"/>
      <c r="F4" s="143" t="s">
        <v>191</v>
      </c>
      <c r="G4" s="101"/>
      <c r="H4" s="101"/>
      <c r="I4" s="101"/>
      <c r="J4" s="102" t="s">
        <v>11</v>
      </c>
      <c r="L4" s="103"/>
      <c r="M4" s="103"/>
      <c r="N4" s="103"/>
    </row>
    <row r="5" spans="1:14" s="96" customFormat="1" ht="13.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03"/>
      <c r="L5" s="103"/>
      <c r="M5" s="103"/>
      <c r="N5" s="103"/>
    </row>
    <row r="6" spans="1:14" s="96" customFormat="1" ht="21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3"/>
      <c r="L6" s="103"/>
      <c r="M6" s="103"/>
      <c r="N6" s="103"/>
    </row>
    <row r="7" spans="1:14" s="97" customFormat="1" ht="26.25" customHeight="1">
      <c r="A7" s="653" t="s">
        <v>221</v>
      </c>
      <c r="B7" s="653"/>
      <c r="C7" s="653"/>
      <c r="D7" s="653"/>
      <c r="E7" s="653"/>
      <c r="F7" s="653"/>
      <c r="G7" s="653"/>
      <c r="H7" s="653"/>
      <c r="I7" s="653"/>
      <c r="J7" s="653"/>
      <c r="K7" s="105"/>
      <c r="L7" s="105"/>
      <c r="M7" s="105"/>
      <c r="N7" s="105"/>
    </row>
    <row r="8" spans="1:14" s="96" customFormat="1" ht="29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6"/>
      <c r="L8" s="107"/>
      <c r="M8" s="106"/>
      <c r="N8" s="107"/>
    </row>
    <row r="9" spans="1:14" s="96" customFormat="1" ht="32.25" customHeight="1">
      <c r="A9" s="654" t="s">
        <v>27</v>
      </c>
      <c r="B9" s="654"/>
      <c r="C9" s="657" t="s">
        <v>276</v>
      </c>
      <c r="D9" s="658"/>
      <c r="E9" s="658"/>
      <c r="F9" s="658"/>
      <c r="G9" s="658"/>
      <c r="H9" s="658"/>
      <c r="I9" s="658"/>
      <c r="J9" s="658"/>
      <c r="K9" s="105"/>
      <c r="L9" s="97"/>
      <c r="M9" s="106"/>
      <c r="N9" s="106"/>
    </row>
    <row r="10" spans="1:14" s="96" customFormat="1" ht="32.25" customHeight="1">
      <c r="A10" s="655"/>
      <c r="B10" s="655"/>
      <c r="C10" s="295" t="s">
        <v>28</v>
      </c>
      <c r="D10" s="295" t="s">
        <v>29</v>
      </c>
      <c r="E10" s="295" t="s">
        <v>30</v>
      </c>
      <c r="F10" s="295" t="s">
        <v>31</v>
      </c>
      <c r="G10" s="295" t="s">
        <v>32</v>
      </c>
      <c r="H10" s="295" t="s">
        <v>33</v>
      </c>
      <c r="I10" s="295" t="s">
        <v>766</v>
      </c>
      <c r="J10" s="295" t="s">
        <v>767</v>
      </c>
      <c r="K10" s="107"/>
      <c r="M10" s="110"/>
      <c r="N10" s="110"/>
    </row>
    <row r="11" spans="1:14" s="96" customFormat="1" ht="21" customHeight="1">
      <c r="A11" s="656" t="s">
        <v>571</v>
      </c>
      <c r="B11" s="656"/>
      <c r="C11" s="296">
        <f>15.0282*Главная!B134</f>
        <v>509.45597999999995</v>
      </c>
      <c r="D11" s="296">
        <f>15.59*Главная!B134</f>
        <v>528.501</v>
      </c>
      <c r="E11" s="296">
        <f>17.34*Главная!B134</f>
        <v>587.826</v>
      </c>
      <c r="F11" s="296">
        <f>21.26*Главная!B134</f>
        <v>720.714</v>
      </c>
      <c r="G11" s="296">
        <f>56.91*Главная!B134</f>
        <v>1929.2489999999998</v>
      </c>
      <c r="H11" s="297">
        <f>60.27*Главная!B134</f>
        <v>2043.153</v>
      </c>
      <c r="I11" s="297">
        <f>25.047*Главная!B134</f>
        <v>849.0933</v>
      </c>
      <c r="J11" s="297">
        <f>38.7684*Главная!B134</f>
        <v>1314.24876</v>
      </c>
      <c r="K11" s="106"/>
      <c r="M11" s="110"/>
      <c r="N11" s="110"/>
    </row>
    <row r="12" spans="1:14" s="96" customFormat="1" ht="39.75" customHeight="1">
      <c r="A12" s="111"/>
      <c r="B12" s="111"/>
      <c r="C12" s="109"/>
      <c r="D12" s="108"/>
      <c r="E12" s="108"/>
      <c r="F12" s="108"/>
      <c r="G12" s="108"/>
      <c r="H12" s="108"/>
      <c r="I12" s="108"/>
      <c r="J12" s="109"/>
      <c r="K12" s="109"/>
      <c r="L12" s="110"/>
      <c r="M12" s="110"/>
      <c r="N12" s="110"/>
    </row>
    <row r="13" spans="1:14" s="96" customFormat="1" ht="20.25" customHeight="1">
      <c r="A13" s="111" t="s">
        <v>572</v>
      </c>
      <c r="B13" s="111" t="s">
        <v>538</v>
      </c>
      <c r="C13" s="109"/>
      <c r="D13" s="108"/>
      <c r="E13" s="108"/>
      <c r="F13" s="108"/>
      <c r="G13" s="108"/>
      <c r="H13" s="108"/>
      <c r="I13" s="108"/>
      <c r="J13" s="109"/>
      <c r="K13" s="109"/>
      <c r="L13" s="110"/>
      <c r="M13" s="110"/>
      <c r="N13" s="110"/>
    </row>
    <row r="14" spans="1:14" s="96" customFormat="1" ht="27" customHeight="1">
      <c r="A14" s="111" t="s">
        <v>573</v>
      </c>
      <c r="B14" s="181" t="s">
        <v>15</v>
      </c>
      <c r="C14" s="109"/>
      <c r="D14" s="108"/>
      <c r="E14" s="108"/>
      <c r="F14" s="108"/>
      <c r="G14" s="108"/>
      <c r="H14" s="108"/>
      <c r="I14" s="108"/>
      <c r="J14" s="109"/>
      <c r="K14" s="109"/>
      <c r="L14" s="110"/>
      <c r="M14" s="110"/>
      <c r="N14" s="110"/>
    </row>
    <row r="15" spans="1:12" s="76" customFormat="1" ht="19.5" customHeight="1">
      <c r="A15" s="96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2" s="76" customFormat="1" ht="17.25" customHeight="1">
      <c r="A16" s="112" t="s">
        <v>222</v>
      </c>
      <c r="B16" s="113"/>
    </row>
    <row r="17" s="76" customFormat="1" ht="35.25" customHeight="1">
      <c r="B17" s="113"/>
    </row>
    <row r="18" spans="1:12" s="76" customFormat="1" ht="15" customHeight="1">
      <c r="A18" s="298" t="s">
        <v>574</v>
      </c>
      <c r="B18" s="114" t="s">
        <v>376</v>
      </c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s="76" customFormat="1" ht="20.25" customHeight="1">
      <c r="A19" s="299"/>
      <c r="B19" s="117"/>
      <c r="C19" s="117"/>
      <c r="D19" s="117"/>
      <c r="E19" s="117"/>
      <c r="F19" s="117"/>
      <c r="G19" s="117"/>
      <c r="H19" s="117"/>
      <c r="I19" s="117"/>
      <c r="J19" s="117"/>
      <c r="K19" s="116"/>
      <c r="L19" s="116"/>
    </row>
    <row r="20" spans="1:12" s="76" customFormat="1" ht="20.25" customHeight="1">
      <c r="A20" s="300" t="s">
        <v>575</v>
      </c>
      <c r="B20" s="118" t="s">
        <v>377</v>
      </c>
      <c r="C20" s="117"/>
      <c r="D20" s="117"/>
      <c r="E20" s="117"/>
      <c r="F20" s="117"/>
      <c r="G20" s="117"/>
      <c r="H20" s="117"/>
      <c r="I20" s="117"/>
      <c r="J20" s="117"/>
      <c r="K20" s="116"/>
      <c r="L20" s="116"/>
    </row>
    <row r="21" spans="1:12" s="76" customFormat="1" ht="20.25" customHeight="1">
      <c r="A21" s="299"/>
      <c r="B21" s="117"/>
      <c r="C21" s="117"/>
      <c r="D21" s="117"/>
      <c r="E21" s="117"/>
      <c r="F21" s="117"/>
      <c r="G21" s="117"/>
      <c r="H21" s="117"/>
      <c r="I21" s="117"/>
      <c r="J21" s="117"/>
      <c r="K21" s="116"/>
      <c r="L21" s="116"/>
    </row>
    <row r="22" spans="1:12" s="76" customFormat="1" ht="20.25" customHeight="1">
      <c r="A22" s="659" t="s">
        <v>577</v>
      </c>
      <c r="B22" s="114" t="s">
        <v>378</v>
      </c>
      <c r="C22" s="114" t="s">
        <v>384</v>
      </c>
      <c r="D22" s="114" t="s">
        <v>385</v>
      </c>
      <c r="E22" s="114" t="s">
        <v>388</v>
      </c>
      <c r="F22" s="114" t="s">
        <v>394</v>
      </c>
      <c r="G22" s="114" t="s">
        <v>396</v>
      </c>
      <c r="H22" s="114" t="s">
        <v>401</v>
      </c>
      <c r="I22" s="114" t="s">
        <v>404</v>
      </c>
      <c r="J22" s="114" t="s">
        <v>405</v>
      </c>
      <c r="K22" s="114" t="s">
        <v>509</v>
      </c>
      <c r="L22" s="114" t="s">
        <v>386</v>
      </c>
    </row>
    <row r="23" spans="1:12" s="76" customFormat="1" ht="20.25" customHeight="1">
      <c r="A23" s="659"/>
      <c r="B23" s="114" t="s">
        <v>389</v>
      </c>
      <c r="C23" s="114" t="s">
        <v>390</v>
      </c>
      <c r="D23" s="114" t="s">
        <v>397</v>
      </c>
      <c r="E23" s="114" t="s">
        <v>398</v>
      </c>
      <c r="F23" s="114" t="s">
        <v>407</v>
      </c>
      <c r="G23" s="114" t="s">
        <v>419</v>
      </c>
      <c r="H23" s="114" t="s">
        <v>466</v>
      </c>
      <c r="I23" s="114" t="s">
        <v>467</v>
      </c>
      <c r="J23" s="114" t="s">
        <v>468</v>
      </c>
      <c r="K23" s="114" t="s">
        <v>469</v>
      </c>
      <c r="L23" s="114" t="s">
        <v>470</v>
      </c>
    </row>
    <row r="24" spans="1:12" s="76" customFormat="1" ht="18.75" customHeight="1">
      <c r="A24" s="659"/>
      <c r="B24" s="114" t="s">
        <v>471</v>
      </c>
      <c r="C24" s="114" t="s">
        <v>472</v>
      </c>
      <c r="D24" s="114" t="s">
        <v>473</v>
      </c>
      <c r="E24" s="114" t="s">
        <v>474</v>
      </c>
      <c r="F24" s="114" t="s">
        <v>475</v>
      </c>
      <c r="G24" s="114" t="s">
        <v>476</v>
      </c>
      <c r="H24" s="114" t="s">
        <v>481</v>
      </c>
      <c r="I24" s="114" t="s">
        <v>484</v>
      </c>
      <c r="J24" s="114" t="s">
        <v>485</v>
      </c>
      <c r="K24" s="114" t="s">
        <v>486</v>
      </c>
      <c r="L24" s="114" t="s">
        <v>488</v>
      </c>
    </row>
    <row r="25" spans="1:12" s="76" customFormat="1" ht="20.25" customHeight="1">
      <c r="A25" s="659"/>
      <c r="B25" s="114" t="s">
        <v>489</v>
      </c>
      <c r="C25" s="114" t="s">
        <v>490</v>
      </c>
      <c r="D25" s="114" t="s">
        <v>491</v>
      </c>
      <c r="E25" s="114" t="s">
        <v>492</v>
      </c>
      <c r="F25" s="114" t="s">
        <v>493</v>
      </c>
      <c r="G25" s="114" t="s">
        <v>494</v>
      </c>
      <c r="H25" s="114" t="s">
        <v>495</v>
      </c>
      <c r="I25" s="114" t="s">
        <v>496</v>
      </c>
      <c r="J25" s="114" t="s">
        <v>497</v>
      </c>
      <c r="K25" s="114" t="s">
        <v>553</v>
      </c>
      <c r="L25" s="114" t="s">
        <v>554</v>
      </c>
    </row>
    <row r="26" spans="1:12" s="76" customFormat="1" ht="20.25" customHeight="1">
      <c r="A26" s="659"/>
      <c r="B26" s="114" t="s">
        <v>555</v>
      </c>
      <c r="C26" s="114" t="s">
        <v>512</v>
      </c>
      <c r="D26" s="114" t="s">
        <v>556</v>
      </c>
      <c r="E26" s="114" t="s">
        <v>768</v>
      </c>
      <c r="F26" s="114" t="s">
        <v>558</v>
      </c>
      <c r="G26" s="114" t="s">
        <v>559</v>
      </c>
      <c r="H26" s="114" t="s">
        <v>769</v>
      </c>
      <c r="I26" s="114" t="s">
        <v>499</v>
      </c>
      <c r="J26" s="114" t="s">
        <v>500</v>
      </c>
      <c r="K26" s="114" t="s">
        <v>501</v>
      </c>
      <c r="L26" s="114" t="s">
        <v>502</v>
      </c>
    </row>
    <row r="27" spans="1:12" s="76" customFormat="1" ht="20.25" customHeight="1">
      <c r="A27" s="659"/>
      <c r="B27" s="114" t="s">
        <v>503</v>
      </c>
      <c r="C27" s="114" t="s">
        <v>504</v>
      </c>
      <c r="D27" s="114" t="s">
        <v>477</v>
      </c>
      <c r="E27" s="114" t="s">
        <v>478</v>
      </c>
      <c r="F27" s="114" t="s">
        <v>479</v>
      </c>
      <c r="G27" s="114" t="s">
        <v>480</v>
      </c>
      <c r="H27" s="114" t="s">
        <v>482</v>
      </c>
      <c r="I27" s="114" t="s">
        <v>483</v>
      </c>
      <c r="J27" s="114" t="s">
        <v>487</v>
      </c>
      <c r="K27" s="114" t="s">
        <v>511</v>
      </c>
      <c r="L27" s="114" t="s">
        <v>513</v>
      </c>
    </row>
    <row r="28" spans="1:12" s="76" customFormat="1" ht="20.25" customHeight="1">
      <c r="A28" s="29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s="76" customFormat="1" ht="20.25" customHeight="1">
      <c r="A29" s="660" t="s">
        <v>578</v>
      </c>
      <c r="B29" s="301" t="s">
        <v>745</v>
      </c>
      <c r="C29" s="118" t="s">
        <v>380</v>
      </c>
      <c r="D29" s="118" t="s">
        <v>381</v>
      </c>
      <c r="E29" s="118" t="s">
        <v>382</v>
      </c>
      <c r="F29" s="118" t="s">
        <v>383</v>
      </c>
      <c r="G29" s="118" t="s">
        <v>387</v>
      </c>
      <c r="H29" s="118" t="s">
        <v>550</v>
      </c>
      <c r="I29" s="118" t="s">
        <v>399</v>
      </c>
      <c r="J29" s="118" t="s">
        <v>400</v>
      </c>
      <c r="K29" s="118" t="s">
        <v>403</v>
      </c>
      <c r="L29" s="118" t="s">
        <v>411</v>
      </c>
    </row>
    <row r="30" spans="1:12" s="76" customFormat="1" ht="20.25" customHeight="1">
      <c r="A30" s="660"/>
      <c r="B30" s="301" t="s">
        <v>415</v>
      </c>
      <c r="C30" s="118" t="s">
        <v>416</v>
      </c>
      <c r="D30" s="118" t="s">
        <v>421</v>
      </c>
      <c r="E30" s="118" t="s">
        <v>422</v>
      </c>
      <c r="F30" s="118" t="s">
        <v>423</v>
      </c>
      <c r="G30" s="118" t="s">
        <v>424</v>
      </c>
      <c r="H30" s="118" t="s">
        <v>427</v>
      </c>
      <c r="I30" s="118" t="s">
        <v>428</v>
      </c>
      <c r="J30" s="118" t="s">
        <v>430</v>
      </c>
      <c r="K30" s="118" t="s">
        <v>431</v>
      </c>
      <c r="L30" s="118" t="s">
        <v>432</v>
      </c>
    </row>
    <row r="31" spans="1:12" s="76" customFormat="1" ht="20.25" customHeight="1">
      <c r="A31" s="660"/>
      <c r="B31" s="301" t="s">
        <v>433</v>
      </c>
      <c r="C31" s="118" t="s">
        <v>434</v>
      </c>
      <c r="D31" s="118" t="s">
        <v>391</v>
      </c>
      <c r="E31" s="118" t="s">
        <v>392</v>
      </c>
      <c r="F31" s="118" t="s">
        <v>393</v>
      </c>
      <c r="G31" s="118" t="s">
        <v>402</v>
      </c>
      <c r="H31" s="118" t="s">
        <v>406</v>
      </c>
      <c r="I31" s="118" t="s">
        <v>409</v>
      </c>
      <c r="J31" s="118" t="s">
        <v>410</v>
      </c>
      <c r="K31" s="118" t="s">
        <v>412</v>
      </c>
      <c r="L31" s="118" t="s">
        <v>413</v>
      </c>
    </row>
    <row r="32" spans="1:12" s="76" customFormat="1" ht="20.25" customHeight="1">
      <c r="A32" s="660"/>
      <c r="B32" s="301" t="s">
        <v>414</v>
      </c>
      <c r="C32" s="118" t="s">
        <v>417</v>
      </c>
      <c r="D32" s="118" t="s">
        <v>418</v>
      </c>
      <c r="E32" s="118" t="s">
        <v>420</v>
      </c>
      <c r="F32" s="118" t="s">
        <v>426</v>
      </c>
      <c r="G32" s="118" t="s">
        <v>429</v>
      </c>
      <c r="H32" s="118" t="s">
        <v>446</v>
      </c>
      <c r="I32" s="118" t="s">
        <v>447</v>
      </c>
      <c r="J32" s="118" t="s">
        <v>451</v>
      </c>
      <c r="K32" s="118" t="s">
        <v>452</v>
      </c>
      <c r="L32" s="118" t="s">
        <v>453</v>
      </c>
    </row>
    <row r="33" spans="1:12" s="76" customFormat="1" ht="20.25" customHeight="1">
      <c r="A33" s="660"/>
      <c r="B33" s="301" t="s">
        <v>460</v>
      </c>
      <c r="C33" s="118" t="s">
        <v>461</v>
      </c>
      <c r="D33" s="118" t="s">
        <v>440</v>
      </c>
      <c r="E33" s="118" t="s">
        <v>441</v>
      </c>
      <c r="F33" s="118" t="s">
        <v>442</v>
      </c>
      <c r="G33" s="118" t="s">
        <v>443</v>
      </c>
      <c r="H33" s="118" t="s">
        <v>444</v>
      </c>
      <c r="I33" s="118" t="s">
        <v>445</v>
      </c>
      <c r="J33" s="118" t="s">
        <v>449</v>
      </c>
      <c r="K33" s="118" t="s">
        <v>450</v>
      </c>
      <c r="L33" s="118" t="s">
        <v>454</v>
      </c>
    </row>
    <row r="34" spans="1:12" s="76" customFormat="1" ht="20.25" customHeight="1">
      <c r="A34" s="660"/>
      <c r="B34" s="301" t="s">
        <v>455</v>
      </c>
      <c r="C34" s="118" t="s">
        <v>456</v>
      </c>
      <c r="D34" s="118" t="s">
        <v>457</v>
      </c>
      <c r="E34" s="118" t="s">
        <v>458</v>
      </c>
      <c r="F34" s="118" t="s">
        <v>459</v>
      </c>
      <c r="G34" s="118" t="s">
        <v>462</v>
      </c>
      <c r="H34" s="118" t="s">
        <v>463</v>
      </c>
      <c r="I34" s="118" t="s">
        <v>464</v>
      </c>
      <c r="J34" s="118" t="s">
        <v>436</v>
      </c>
      <c r="K34" s="118" t="s">
        <v>437</v>
      </c>
      <c r="L34" s="118" t="s">
        <v>438</v>
      </c>
    </row>
    <row r="35" spans="1:12" s="76" customFormat="1" ht="20.25" customHeight="1">
      <c r="A35" s="660"/>
      <c r="B35" s="301" t="s">
        <v>439</v>
      </c>
      <c r="C35" s="118" t="s">
        <v>507</v>
      </c>
      <c r="D35" s="118" t="s">
        <v>505</v>
      </c>
      <c r="E35" s="118" t="s">
        <v>506</v>
      </c>
      <c r="F35" s="118" t="s">
        <v>532</v>
      </c>
      <c r="G35" s="118" t="s">
        <v>762</v>
      </c>
      <c r="H35" s="118" t="s">
        <v>763</v>
      </c>
      <c r="I35" s="118" t="s">
        <v>523</v>
      </c>
      <c r="J35" s="118" t="s">
        <v>524</v>
      </c>
      <c r="K35" s="118" t="s">
        <v>525</v>
      </c>
      <c r="L35" s="118" t="s">
        <v>526</v>
      </c>
    </row>
    <row r="36" spans="1:12" s="76" customFormat="1" ht="24" customHeight="1">
      <c r="A36" s="660"/>
      <c r="B36" s="301" t="s">
        <v>529</v>
      </c>
      <c r="C36" s="118" t="s">
        <v>530</v>
      </c>
      <c r="D36" s="118" t="s">
        <v>764</v>
      </c>
      <c r="E36" s="118" t="s">
        <v>408</v>
      </c>
      <c r="F36" s="118" t="s">
        <v>508</v>
      </c>
      <c r="G36" s="118" t="s">
        <v>564</v>
      </c>
      <c r="H36" s="118" t="s">
        <v>527</v>
      </c>
      <c r="I36" s="118" t="s">
        <v>528</v>
      </c>
      <c r="J36" s="118" t="s">
        <v>531</v>
      </c>
      <c r="K36" s="118" t="s">
        <v>534</v>
      </c>
      <c r="L36" s="118" t="s">
        <v>561</v>
      </c>
    </row>
    <row r="37" spans="1:12" s="76" customFormat="1" ht="21.75" customHeight="1">
      <c r="A37" s="660"/>
      <c r="B37" s="301" t="s">
        <v>588</v>
      </c>
      <c r="C37" s="118" t="s">
        <v>515</v>
      </c>
      <c r="D37" s="118" t="s">
        <v>516</v>
      </c>
      <c r="E37" s="118" t="s">
        <v>518</v>
      </c>
      <c r="F37" s="118" t="s">
        <v>520</v>
      </c>
      <c r="G37" s="118" t="s">
        <v>521</v>
      </c>
      <c r="H37" s="118" t="s">
        <v>522</v>
      </c>
      <c r="I37" s="118" t="s">
        <v>533</v>
      </c>
      <c r="J37" s="118" t="s">
        <v>560</v>
      </c>
      <c r="K37" s="118" t="s">
        <v>765</v>
      </c>
      <c r="L37" s="118" t="s">
        <v>562</v>
      </c>
    </row>
    <row r="38" spans="1:12" s="76" customFormat="1" ht="21.75" customHeight="1">
      <c r="A38" s="660"/>
      <c r="B38" s="118" t="s">
        <v>563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s="76" customFormat="1" ht="21.75" customHeight="1">
      <c r="A39" s="7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 s="76" customFormat="1" ht="21.75" customHeight="1">
      <c r="A40" s="651" t="s">
        <v>579</v>
      </c>
      <c r="B40" s="118" t="s">
        <v>514</v>
      </c>
      <c r="C40" s="118" t="s">
        <v>517</v>
      </c>
      <c r="D40" s="118" t="s">
        <v>565</v>
      </c>
      <c r="E40" s="118" t="s">
        <v>566</v>
      </c>
      <c r="F40" s="118" t="s">
        <v>567</v>
      </c>
      <c r="G40" s="118" t="s">
        <v>568</v>
      </c>
      <c r="H40" s="118" t="s">
        <v>541</v>
      </c>
      <c r="I40" s="118" t="s">
        <v>542</v>
      </c>
      <c r="J40" s="118" t="s">
        <v>543</v>
      </c>
      <c r="K40" s="118" t="s">
        <v>544</v>
      </c>
      <c r="L40" s="118" t="s">
        <v>545</v>
      </c>
    </row>
    <row r="41" spans="1:12" s="76" customFormat="1" ht="27" customHeight="1">
      <c r="A41" s="651"/>
      <c r="B41" s="118" t="s">
        <v>546</v>
      </c>
      <c r="C41" s="118" t="s">
        <v>547</v>
      </c>
      <c r="D41" s="118" t="s">
        <v>576</v>
      </c>
      <c r="E41" s="118" t="s">
        <v>548</v>
      </c>
      <c r="F41" s="118" t="s">
        <v>549</v>
      </c>
      <c r="G41" s="115"/>
      <c r="H41" s="115"/>
      <c r="I41" s="115"/>
      <c r="J41" s="115"/>
      <c r="K41" s="115"/>
      <c r="L41" s="115"/>
    </row>
    <row r="42" spans="1:12" s="76" customFormat="1" ht="24" customHeight="1">
      <c r="A42" s="72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s="76" customFormat="1" ht="24" customHeight="1">
      <c r="A43" s="161" t="s">
        <v>754</v>
      </c>
      <c r="B43" s="118" t="s">
        <v>770</v>
      </c>
      <c r="C43" s="118" t="s">
        <v>771</v>
      </c>
      <c r="D43" s="118" t="s">
        <v>772</v>
      </c>
      <c r="E43" s="118" t="s">
        <v>773</v>
      </c>
      <c r="F43" s="118" t="s">
        <v>774</v>
      </c>
      <c r="G43" s="118" t="s">
        <v>775</v>
      </c>
      <c r="H43" s="115"/>
      <c r="I43" s="115"/>
      <c r="J43" s="115"/>
      <c r="K43" s="115"/>
      <c r="L43" s="115"/>
    </row>
    <row r="44" spans="1:12" s="76" customFormat="1" ht="24" customHeight="1">
      <c r="A44" s="119"/>
      <c r="B44" s="117"/>
      <c r="C44" s="182"/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2" s="76" customFormat="1" ht="24" customHeight="1">
      <c r="A45" s="120" t="s">
        <v>776</v>
      </c>
      <c r="B45" s="114" t="s">
        <v>569</v>
      </c>
      <c r="C45" s="114" t="s">
        <v>570</v>
      </c>
      <c r="D45" s="183"/>
      <c r="E45" s="182"/>
      <c r="F45" s="182"/>
      <c r="G45" s="182"/>
      <c r="H45" s="182"/>
      <c r="I45" s="182"/>
      <c r="J45" s="182"/>
      <c r="K45" s="302"/>
      <c r="L45" s="302"/>
    </row>
    <row r="46" spans="1:12" s="76" customFormat="1" ht="24" customHeight="1">
      <c r="A46" s="121"/>
      <c r="B46" s="303"/>
      <c r="C46" s="302"/>
      <c r="D46" s="302"/>
      <c r="E46" s="302"/>
      <c r="F46" s="302"/>
      <c r="G46" s="302"/>
      <c r="H46" s="302"/>
      <c r="I46" s="302"/>
      <c r="J46" s="302"/>
      <c r="K46" s="302"/>
      <c r="L46" s="302"/>
    </row>
    <row r="47" spans="1:12" s="76" customFormat="1" ht="24" customHeight="1">
      <c r="A47" s="161" t="s">
        <v>777</v>
      </c>
      <c r="B47" s="118" t="s">
        <v>581</v>
      </c>
      <c r="C47" s="118" t="s">
        <v>580</v>
      </c>
      <c r="D47" s="302"/>
      <c r="E47" s="302"/>
      <c r="F47" s="302"/>
      <c r="G47" s="302"/>
      <c r="H47" s="302"/>
      <c r="I47" s="96"/>
      <c r="J47" s="302"/>
      <c r="K47" s="302"/>
      <c r="L47" s="302"/>
    </row>
    <row r="48" spans="1:12" s="76" customFormat="1" ht="24" customHeight="1">
      <c r="A48" s="96"/>
      <c r="B48" s="303"/>
      <c r="C48" s="302"/>
      <c r="D48" s="302"/>
      <c r="E48" s="302"/>
      <c r="F48" s="302"/>
      <c r="G48" s="302"/>
      <c r="H48" s="302"/>
      <c r="I48" s="302"/>
      <c r="J48" s="302"/>
      <c r="K48" s="304"/>
      <c r="L48" s="304"/>
    </row>
    <row r="49" spans="1:10" s="96" customFormat="1" ht="12.75">
      <c r="A49" s="121"/>
      <c r="B49" s="97"/>
      <c r="C49" s="122"/>
      <c r="D49" s="122"/>
      <c r="E49" s="122"/>
      <c r="F49" s="122"/>
      <c r="G49" s="122"/>
      <c r="H49" s="122"/>
      <c r="I49" s="122"/>
      <c r="J49" s="122"/>
    </row>
    <row r="50" spans="2:10" s="96" customFormat="1" ht="12.75">
      <c r="B50" s="97"/>
      <c r="C50" s="122"/>
      <c r="D50" s="122"/>
      <c r="E50" s="122"/>
      <c r="F50" s="122"/>
      <c r="G50" s="122"/>
      <c r="H50" s="122"/>
      <c r="I50" s="122"/>
      <c r="J50" s="122"/>
    </row>
    <row r="51" s="96" customFormat="1" ht="12.75">
      <c r="B51" s="97"/>
    </row>
    <row r="52" s="96" customFormat="1" ht="12.75">
      <c r="B52" s="97"/>
    </row>
    <row r="53" s="96" customFormat="1" ht="12.75">
      <c r="B53" s="97"/>
    </row>
    <row r="54" s="96" customFormat="1" ht="12.75">
      <c r="B54" s="97"/>
    </row>
    <row r="55" s="96" customFormat="1" ht="12.75">
      <c r="B55" s="97"/>
    </row>
    <row r="56" s="96" customFormat="1" ht="12.75">
      <c r="B56" s="97"/>
    </row>
    <row r="57" s="96" customFormat="1" ht="12.75">
      <c r="B57" s="97"/>
    </row>
    <row r="58" s="96" customFormat="1" ht="12.75">
      <c r="B58" s="97"/>
    </row>
    <row r="59" s="96" customFormat="1" ht="12.75">
      <c r="B59" s="97"/>
    </row>
    <row r="60" s="96" customFormat="1" ht="12.75">
      <c r="B60" s="97"/>
    </row>
    <row r="61" s="96" customFormat="1" ht="12.75">
      <c r="B61" s="97"/>
    </row>
    <row r="62" s="96" customFormat="1" ht="12.75">
      <c r="B62" s="97"/>
    </row>
    <row r="63" s="96" customFormat="1" ht="12.75">
      <c r="B63" s="97"/>
    </row>
    <row r="64" s="96" customFormat="1" ht="12.75">
      <c r="B64" s="97"/>
    </row>
    <row r="65" s="96" customFormat="1" ht="12.75">
      <c r="B65" s="97"/>
    </row>
    <row r="66" s="96" customFormat="1" ht="12.75">
      <c r="B66" s="97"/>
    </row>
    <row r="67" s="96" customFormat="1" ht="12.75">
      <c r="B67" s="97"/>
    </row>
    <row r="68" s="96" customFormat="1" ht="12.75">
      <c r="B68" s="97"/>
    </row>
    <row r="69" s="96" customFormat="1" ht="12.75">
      <c r="B69" s="97"/>
    </row>
    <row r="70" s="96" customFormat="1" ht="12.75">
      <c r="B70" s="97"/>
    </row>
    <row r="71" s="96" customFormat="1" ht="12.75">
      <c r="B71" s="97"/>
    </row>
    <row r="72" s="96" customFormat="1" ht="12.75">
      <c r="B72" s="97"/>
    </row>
    <row r="73" s="96" customFormat="1" ht="12.75">
      <c r="B73" s="97"/>
    </row>
    <row r="74" s="96" customFormat="1" ht="12.75">
      <c r="B74" s="97"/>
    </row>
    <row r="75" s="96" customFormat="1" ht="12.75">
      <c r="B75" s="97"/>
    </row>
    <row r="76" s="96" customFormat="1" ht="12.75">
      <c r="B76" s="97"/>
    </row>
    <row r="77" s="96" customFormat="1" ht="12.75">
      <c r="B77" s="97"/>
    </row>
    <row r="78" s="96" customFormat="1" ht="12.75">
      <c r="B78" s="97"/>
    </row>
    <row r="79" s="96" customFormat="1" ht="12.75">
      <c r="B79" s="97"/>
    </row>
    <row r="80" s="96" customFormat="1" ht="12.75">
      <c r="B80" s="97"/>
    </row>
    <row r="81" s="96" customFormat="1" ht="12.75">
      <c r="B81" s="97"/>
    </row>
    <row r="82" s="96" customFormat="1" ht="12.75">
      <c r="B82" s="97"/>
    </row>
    <row r="83" s="96" customFormat="1" ht="12.75">
      <c r="B83" s="97"/>
    </row>
    <row r="84" s="96" customFormat="1" ht="12.75">
      <c r="B84" s="97"/>
    </row>
    <row r="85" s="96" customFormat="1" ht="12.75">
      <c r="B85" s="97"/>
    </row>
    <row r="86" s="96" customFormat="1" ht="12.75">
      <c r="B86" s="97"/>
    </row>
    <row r="87" s="96" customFormat="1" ht="12.75">
      <c r="B87" s="97"/>
    </row>
    <row r="88" s="96" customFormat="1" ht="12.75">
      <c r="B88" s="97"/>
    </row>
    <row r="89" s="96" customFormat="1" ht="12.75">
      <c r="B89" s="97"/>
    </row>
    <row r="90" s="96" customFormat="1" ht="12.75">
      <c r="B90" s="97"/>
    </row>
    <row r="91" s="96" customFormat="1" ht="12.75">
      <c r="B91" s="97"/>
    </row>
    <row r="92" s="96" customFormat="1" ht="12.75">
      <c r="B92" s="97"/>
    </row>
    <row r="93" s="96" customFormat="1" ht="12.75">
      <c r="B93" s="97"/>
    </row>
    <row r="94" s="96" customFormat="1" ht="12.75">
      <c r="B94" s="97"/>
    </row>
    <row r="95" s="96" customFormat="1" ht="12.75">
      <c r="B95" s="97"/>
    </row>
    <row r="96" s="96" customFormat="1" ht="12.75">
      <c r="B96" s="97"/>
    </row>
    <row r="97" s="96" customFormat="1" ht="12.75">
      <c r="B97" s="97"/>
    </row>
    <row r="98" s="96" customFormat="1" ht="12.75">
      <c r="B98" s="97"/>
    </row>
  </sheetData>
  <sheetProtection/>
  <mergeCells count="8">
    <mergeCell ref="A40:A41"/>
    <mergeCell ref="A2:J2"/>
    <mergeCell ref="A7:J7"/>
    <mergeCell ref="A9:B10"/>
    <mergeCell ref="A11:B11"/>
    <mergeCell ref="C9:J9"/>
    <mergeCell ref="A22:A27"/>
    <mergeCell ref="A29:A38"/>
  </mergeCells>
  <hyperlinks>
    <hyperlink ref="J4" location="Главная!A1" display="на главную"/>
  </hyperlinks>
  <printOptions/>
  <pageMargins left="0.19" right="0.16" top="0.459375" bottom="0.17" header="0.17" footer="0.17"/>
  <pageSetup fitToHeight="3" horizontalDpi="600" verticalDpi="600" orientation="portrait" paperSize="9" scale="70" r:id="rId2"/>
  <headerFooter alignWithMargins="0"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2:M38"/>
  <sheetViews>
    <sheetView view="pageLayout" zoomScaleSheetLayoutView="100" workbookViewId="0" topLeftCell="A5">
      <selection activeCell="D9" sqref="D9:E9"/>
    </sheetView>
  </sheetViews>
  <sheetFormatPr defaultColWidth="9.00390625" defaultRowHeight="12.75"/>
  <cols>
    <col min="1" max="1" width="17.625" style="0" customWidth="1"/>
    <col min="2" max="9" width="9.875" style="0" customWidth="1"/>
  </cols>
  <sheetData>
    <row r="2" spans="1:13" ht="18" customHeight="1">
      <c r="A2" s="670" t="s">
        <v>275</v>
      </c>
      <c r="B2" s="670"/>
      <c r="C2" s="670"/>
      <c r="D2" s="670"/>
      <c r="E2" s="670"/>
      <c r="F2" s="670"/>
      <c r="G2" s="670"/>
      <c r="H2" s="670"/>
      <c r="I2" s="670"/>
      <c r="J2" s="148"/>
      <c r="K2" s="148"/>
      <c r="L2" s="148"/>
      <c r="M2" s="148"/>
    </row>
    <row r="4" spans="1:9" ht="15.75" customHeight="1">
      <c r="A4" s="671" t="s">
        <v>276</v>
      </c>
      <c r="B4" s="672"/>
      <c r="C4" s="672"/>
      <c r="D4" s="672"/>
      <c r="E4" s="672"/>
      <c r="F4" s="672"/>
      <c r="G4" s="672"/>
      <c r="H4" s="672"/>
      <c r="I4" s="672"/>
    </row>
    <row r="5" spans="1:9" ht="72" customHeight="1">
      <c r="A5" s="305"/>
      <c r="B5" s="669" t="s">
        <v>778</v>
      </c>
      <c r="C5" s="669"/>
      <c r="D5" s="669"/>
      <c r="E5" s="669"/>
      <c r="F5" s="669"/>
      <c r="G5" s="669"/>
      <c r="H5" s="669"/>
      <c r="I5" s="669"/>
    </row>
    <row r="6" spans="1:9" ht="13.5">
      <c r="A6" s="306" t="s">
        <v>582</v>
      </c>
      <c r="B6" s="668" t="s">
        <v>535</v>
      </c>
      <c r="C6" s="668"/>
      <c r="D6" s="668" t="s">
        <v>536</v>
      </c>
      <c r="E6" s="668"/>
      <c r="F6" s="668" t="s">
        <v>435</v>
      </c>
      <c r="G6" s="668"/>
      <c r="H6" s="668" t="s">
        <v>779</v>
      </c>
      <c r="I6" s="668"/>
    </row>
    <row r="7" spans="1:9" ht="12.75">
      <c r="A7" s="307" t="s">
        <v>583</v>
      </c>
      <c r="B7" s="666">
        <f>12.5*Главная!B134</f>
        <v>423.75</v>
      </c>
      <c r="C7" s="666"/>
      <c r="D7" s="666">
        <f>12.63*Главная!B134</f>
        <v>428.157</v>
      </c>
      <c r="E7" s="666"/>
      <c r="F7" s="666">
        <f>13*Главная!B134</f>
        <v>440.7</v>
      </c>
      <c r="G7" s="666"/>
      <c r="H7" s="666">
        <f>12.92*Главная!B134</f>
        <v>437.988</v>
      </c>
      <c r="I7" s="666"/>
    </row>
    <row r="8" spans="1:9" ht="12.75">
      <c r="A8" s="307" t="s">
        <v>584</v>
      </c>
      <c r="B8" s="666">
        <f>13.53*Главная!B134</f>
        <v>458.667</v>
      </c>
      <c r="C8" s="666"/>
      <c r="D8" s="666">
        <f>13.66*Главная!B134</f>
        <v>463.074</v>
      </c>
      <c r="E8" s="666"/>
      <c r="F8" s="666">
        <f>14.05*Главная!B134</f>
        <v>476.295</v>
      </c>
      <c r="G8" s="666"/>
      <c r="H8" s="666">
        <f>13.94*Главная!B134</f>
        <v>472.566</v>
      </c>
      <c r="I8" s="666"/>
    </row>
    <row r="9" spans="1:9" ht="12.75">
      <c r="A9" s="307" t="s">
        <v>585</v>
      </c>
      <c r="B9" s="666">
        <f>21.95*Главная!B134</f>
        <v>744.1049999999999</v>
      </c>
      <c r="C9" s="666"/>
      <c r="D9" s="666">
        <f>22.11*Главная!B134</f>
        <v>749.529</v>
      </c>
      <c r="E9" s="666"/>
      <c r="F9" s="666">
        <f>22.5*Главная!B134</f>
        <v>762.75</v>
      </c>
      <c r="G9" s="666"/>
      <c r="H9" s="666">
        <f>22.39*Главная!B134</f>
        <v>759.021</v>
      </c>
      <c r="I9" s="666"/>
    </row>
    <row r="10" spans="1:9" ht="12.75">
      <c r="A10" s="307"/>
      <c r="B10" s="667"/>
      <c r="C10" s="667"/>
      <c r="D10" s="667"/>
      <c r="E10" s="667"/>
      <c r="F10" s="667"/>
      <c r="G10" s="667"/>
      <c r="H10" s="667"/>
      <c r="I10" s="667"/>
    </row>
    <row r="11" spans="1:9" ht="12.75">
      <c r="A11" s="6" t="s">
        <v>586</v>
      </c>
      <c r="B11" s="664" t="s">
        <v>780</v>
      </c>
      <c r="C11" s="665"/>
      <c r="D11" s="664" t="s">
        <v>780</v>
      </c>
      <c r="E11" s="665"/>
      <c r="F11" s="664" t="s">
        <v>780</v>
      </c>
      <c r="G11" s="665"/>
      <c r="H11" s="664" t="s">
        <v>780</v>
      </c>
      <c r="I11" s="665"/>
    </row>
    <row r="13" spans="1:2" ht="12.75">
      <c r="A13" s="184" t="s">
        <v>587</v>
      </c>
      <c r="B13" t="s">
        <v>538</v>
      </c>
    </row>
    <row r="14" ht="12.75">
      <c r="A14" s="184"/>
    </row>
    <row r="15" spans="1:4" ht="12.75">
      <c r="A15" s="489" t="s">
        <v>760</v>
      </c>
      <c r="B15" s="489"/>
      <c r="C15" s="489"/>
      <c r="D15" s="489"/>
    </row>
    <row r="16" spans="1:4" ht="12.75" customHeight="1">
      <c r="A16" s="663" t="s">
        <v>781</v>
      </c>
      <c r="B16" s="663"/>
      <c r="C16" s="286">
        <f>0.95*Главная!B134</f>
        <v>32.205</v>
      </c>
      <c r="D16" s="91" t="s">
        <v>591</v>
      </c>
    </row>
    <row r="17" spans="1:4" ht="12.75">
      <c r="A17" s="188"/>
      <c r="B17" s="188"/>
      <c r="C17" s="188"/>
      <c r="D17" s="188"/>
    </row>
    <row r="18" ht="15">
      <c r="A18" s="112" t="s">
        <v>222</v>
      </c>
    </row>
    <row r="20" spans="1:3" ht="12.75">
      <c r="A20" s="308" t="s">
        <v>535</v>
      </c>
      <c r="B20" s="309" t="s">
        <v>377</v>
      </c>
      <c r="C20" s="309" t="s">
        <v>376</v>
      </c>
    </row>
    <row r="21" spans="1:9" ht="12.75">
      <c r="A21" s="433" t="s">
        <v>536</v>
      </c>
      <c r="B21" s="6" t="s">
        <v>378</v>
      </c>
      <c r="C21" s="6" t="s">
        <v>379</v>
      </c>
      <c r="D21" s="6" t="s">
        <v>380</v>
      </c>
      <c r="E21" s="6" t="s">
        <v>381</v>
      </c>
      <c r="F21" s="6" t="s">
        <v>382</v>
      </c>
      <c r="G21" s="6" t="s">
        <v>383</v>
      </c>
      <c r="H21" s="6" t="s">
        <v>433</v>
      </c>
      <c r="I21" s="6" t="s">
        <v>434</v>
      </c>
    </row>
    <row r="22" spans="1:9" ht="12.75">
      <c r="A22" s="433"/>
      <c r="B22" s="6" t="s">
        <v>384</v>
      </c>
      <c r="C22" s="6" t="s">
        <v>385</v>
      </c>
      <c r="D22" s="6" t="s">
        <v>386</v>
      </c>
      <c r="E22" s="6" t="s">
        <v>387</v>
      </c>
      <c r="F22" s="6" t="s">
        <v>388</v>
      </c>
      <c r="G22" s="6" t="s">
        <v>389</v>
      </c>
      <c r="H22" s="6" t="s">
        <v>390</v>
      </c>
      <c r="I22" s="6" t="s">
        <v>391</v>
      </c>
    </row>
    <row r="23" spans="1:9" ht="12.75">
      <c r="A23" s="433"/>
      <c r="B23" s="6" t="s">
        <v>392</v>
      </c>
      <c r="C23" s="6" t="s">
        <v>393</v>
      </c>
      <c r="D23" s="6" t="s">
        <v>394</v>
      </c>
      <c r="E23" s="6" t="s">
        <v>395</v>
      </c>
      <c r="F23" s="6" t="s">
        <v>396</v>
      </c>
      <c r="G23" s="6" t="s">
        <v>397</v>
      </c>
      <c r="H23" s="6" t="s">
        <v>550</v>
      </c>
      <c r="I23" s="6" t="s">
        <v>398</v>
      </c>
    </row>
    <row r="24" spans="1:9" ht="12.75">
      <c r="A24" s="433"/>
      <c r="B24" s="6" t="s">
        <v>399</v>
      </c>
      <c r="C24" s="6" t="s">
        <v>400</v>
      </c>
      <c r="D24" s="6" t="s">
        <v>401</v>
      </c>
      <c r="E24" s="6" t="s">
        <v>402</v>
      </c>
      <c r="F24" s="6" t="s">
        <v>403</v>
      </c>
      <c r="G24" s="6" t="s">
        <v>404</v>
      </c>
      <c r="H24" s="6" t="s">
        <v>405</v>
      </c>
      <c r="I24" s="6" t="s">
        <v>406</v>
      </c>
    </row>
    <row r="25" spans="1:9" ht="12.75">
      <c r="A25" s="433"/>
      <c r="B25" s="6" t="s">
        <v>407</v>
      </c>
      <c r="C25" s="6" t="s">
        <v>408</v>
      </c>
      <c r="D25" s="6" t="s">
        <v>409</v>
      </c>
      <c r="E25" s="6" t="s">
        <v>410</v>
      </c>
      <c r="F25" s="6" t="s">
        <v>411</v>
      </c>
      <c r="G25" s="6" t="s">
        <v>412</v>
      </c>
      <c r="H25" s="6" t="s">
        <v>413</v>
      </c>
      <c r="I25" s="6" t="s">
        <v>414</v>
      </c>
    </row>
    <row r="26" spans="1:9" ht="12.75">
      <c r="A26" s="433"/>
      <c r="B26" s="6" t="s">
        <v>415</v>
      </c>
      <c r="C26" s="6" t="s">
        <v>416</v>
      </c>
      <c r="D26" s="6" t="s">
        <v>417</v>
      </c>
      <c r="E26" s="6" t="s">
        <v>418</v>
      </c>
      <c r="F26" s="6" t="s">
        <v>419</v>
      </c>
      <c r="G26" s="6" t="s">
        <v>420</v>
      </c>
      <c r="H26" s="6" t="s">
        <v>421</v>
      </c>
      <c r="I26" s="6" t="s">
        <v>422</v>
      </c>
    </row>
    <row r="27" spans="1:9" ht="12.75">
      <c r="A27" s="433"/>
      <c r="B27" s="6" t="s">
        <v>423</v>
      </c>
      <c r="C27" s="6" t="s">
        <v>424</v>
      </c>
      <c r="D27" s="6" t="s">
        <v>425</v>
      </c>
      <c r="E27" s="6" t="s">
        <v>426</v>
      </c>
      <c r="F27" s="6" t="s">
        <v>427</v>
      </c>
      <c r="G27" s="6" t="s">
        <v>428</v>
      </c>
      <c r="H27" s="6" t="s">
        <v>429</v>
      </c>
      <c r="I27" s="6" t="s">
        <v>430</v>
      </c>
    </row>
    <row r="28" spans="1:3" ht="12.75">
      <c r="A28" s="433"/>
      <c r="B28" s="310" t="s">
        <v>431</v>
      </c>
      <c r="C28" s="310" t="s">
        <v>432</v>
      </c>
    </row>
    <row r="29" spans="1:9" ht="12.75">
      <c r="A29" s="661" t="s">
        <v>435</v>
      </c>
      <c r="B29" s="311" t="s">
        <v>436</v>
      </c>
      <c r="C29" s="311" t="s">
        <v>437</v>
      </c>
      <c r="D29" s="311" t="s">
        <v>438</v>
      </c>
      <c r="E29" s="311" t="s">
        <v>439</v>
      </c>
      <c r="F29" s="311" t="s">
        <v>440</v>
      </c>
      <c r="G29" s="311" t="s">
        <v>441</v>
      </c>
      <c r="H29" s="311" t="s">
        <v>442</v>
      </c>
      <c r="I29" s="311" t="s">
        <v>443</v>
      </c>
    </row>
    <row r="30" spans="1:9" ht="12.75">
      <c r="A30" s="661"/>
      <c r="B30" s="311" t="s">
        <v>444</v>
      </c>
      <c r="C30" s="311" t="s">
        <v>445</v>
      </c>
      <c r="D30" s="311" t="s">
        <v>446</v>
      </c>
      <c r="E30" s="311" t="s">
        <v>447</v>
      </c>
      <c r="F30" s="311" t="s">
        <v>449</v>
      </c>
      <c r="G30" s="311" t="s">
        <v>450</v>
      </c>
      <c r="H30" s="311" t="s">
        <v>451</v>
      </c>
      <c r="I30" s="311" t="s">
        <v>452</v>
      </c>
    </row>
    <row r="31" spans="1:9" ht="12.75">
      <c r="A31" s="661"/>
      <c r="B31" s="311" t="s">
        <v>453</v>
      </c>
      <c r="C31" s="311" t="s">
        <v>454</v>
      </c>
      <c r="D31" s="311" t="s">
        <v>455</v>
      </c>
      <c r="E31" s="311" t="s">
        <v>456</v>
      </c>
      <c r="F31" s="311" t="s">
        <v>457</v>
      </c>
      <c r="G31" s="311" t="s">
        <v>458</v>
      </c>
      <c r="H31" s="311" t="s">
        <v>459</v>
      </c>
      <c r="I31" s="311" t="s">
        <v>460</v>
      </c>
    </row>
    <row r="32" spans="1:5" ht="12.75">
      <c r="A32" s="661"/>
      <c r="B32" s="309" t="s">
        <v>461</v>
      </c>
      <c r="C32" s="309" t="s">
        <v>462</v>
      </c>
      <c r="D32" s="309" t="s">
        <v>463</v>
      </c>
      <c r="E32" s="309" t="s">
        <v>464</v>
      </c>
    </row>
    <row r="33" spans="1:9" ht="12.75">
      <c r="A33" s="662" t="s">
        <v>465</v>
      </c>
      <c r="B33" s="312" t="s">
        <v>466</v>
      </c>
      <c r="C33" s="312" t="s">
        <v>467</v>
      </c>
      <c r="D33" s="312" t="s">
        <v>468</v>
      </c>
      <c r="E33" s="312" t="s">
        <v>469</v>
      </c>
      <c r="F33" s="312" t="s">
        <v>470</v>
      </c>
      <c r="G33" s="312" t="s">
        <v>471</v>
      </c>
      <c r="H33" s="312" t="s">
        <v>472</v>
      </c>
      <c r="I33" s="312" t="s">
        <v>473</v>
      </c>
    </row>
    <row r="34" spans="1:9" ht="12.75">
      <c r="A34" s="662"/>
      <c r="B34" s="312" t="s">
        <v>474</v>
      </c>
      <c r="C34" s="312" t="s">
        <v>475</v>
      </c>
      <c r="D34" s="312" t="s">
        <v>476</v>
      </c>
      <c r="E34" s="312" t="s">
        <v>477</v>
      </c>
      <c r="F34" s="312" t="s">
        <v>478</v>
      </c>
      <c r="G34" s="312" t="s">
        <v>479</v>
      </c>
      <c r="H34" s="312" t="s">
        <v>480</v>
      </c>
      <c r="I34" s="312" t="s">
        <v>481</v>
      </c>
    </row>
    <row r="35" spans="1:9" ht="12.75">
      <c r="A35" s="662"/>
      <c r="B35" s="312" t="s">
        <v>482</v>
      </c>
      <c r="C35" s="312" t="s">
        <v>483</v>
      </c>
      <c r="D35" s="312" t="s">
        <v>484</v>
      </c>
      <c r="E35" s="312" t="s">
        <v>485</v>
      </c>
      <c r="F35" s="312" t="s">
        <v>486</v>
      </c>
      <c r="G35" s="312" t="s">
        <v>487</v>
      </c>
      <c r="H35" s="312" t="s">
        <v>488</v>
      </c>
      <c r="I35" s="312" t="s">
        <v>489</v>
      </c>
    </row>
    <row r="36" spans="1:9" ht="12.75">
      <c r="A36" s="662"/>
      <c r="B36" s="312" t="s">
        <v>490</v>
      </c>
      <c r="C36" s="312" t="s">
        <v>491</v>
      </c>
      <c r="D36" s="312" t="s">
        <v>492</v>
      </c>
      <c r="E36" s="312" t="s">
        <v>493</v>
      </c>
      <c r="F36" s="312" t="s">
        <v>494</v>
      </c>
      <c r="G36" s="312" t="s">
        <v>495</v>
      </c>
      <c r="H36" s="312" t="s">
        <v>496</v>
      </c>
      <c r="I36" s="312" t="s">
        <v>497</v>
      </c>
    </row>
    <row r="37" spans="1:9" ht="12.75">
      <c r="A37" s="662"/>
      <c r="B37" s="312" t="s">
        <v>553</v>
      </c>
      <c r="C37" s="312" t="s">
        <v>554</v>
      </c>
      <c r="D37" s="312" t="s">
        <v>555</v>
      </c>
      <c r="E37" s="312" t="s">
        <v>512</v>
      </c>
      <c r="F37" s="312" t="s">
        <v>556</v>
      </c>
      <c r="G37" s="312" t="s">
        <v>557</v>
      </c>
      <c r="H37" s="312" t="s">
        <v>558</v>
      </c>
      <c r="I37" s="312" t="s">
        <v>559</v>
      </c>
    </row>
    <row r="38" spans="1:8" ht="12.75">
      <c r="A38" s="662"/>
      <c r="B38" s="312" t="s">
        <v>498</v>
      </c>
      <c r="C38" s="312" t="s">
        <v>499</v>
      </c>
      <c r="D38" s="312" t="s">
        <v>500</v>
      </c>
      <c r="E38" s="312" t="s">
        <v>501</v>
      </c>
      <c r="F38" s="312" t="s">
        <v>502</v>
      </c>
      <c r="G38" s="312" t="s">
        <v>503</v>
      </c>
      <c r="H38" s="312" t="s">
        <v>504</v>
      </c>
    </row>
  </sheetData>
  <sheetProtection/>
  <mergeCells count="32">
    <mergeCell ref="A2:I2"/>
    <mergeCell ref="A4:I4"/>
    <mergeCell ref="B11:C11"/>
    <mergeCell ref="D11:E11"/>
    <mergeCell ref="F11:G11"/>
    <mergeCell ref="B9:C9"/>
    <mergeCell ref="D9:E9"/>
    <mergeCell ref="F9:G9"/>
    <mergeCell ref="B10:C10"/>
    <mergeCell ref="D10:E10"/>
    <mergeCell ref="B5:I5"/>
    <mergeCell ref="H6:I6"/>
    <mergeCell ref="F10:G10"/>
    <mergeCell ref="B7:C7"/>
    <mergeCell ref="D7:E7"/>
    <mergeCell ref="F7:G7"/>
    <mergeCell ref="B8:C8"/>
    <mergeCell ref="D8:E8"/>
    <mergeCell ref="F8:G8"/>
    <mergeCell ref="H7:I7"/>
    <mergeCell ref="H8:I8"/>
    <mergeCell ref="H9:I9"/>
    <mergeCell ref="H10:I10"/>
    <mergeCell ref="B6:C6"/>
    <mergeCell ref="D6:E6"/>
    <mergeCell ref="F6:G6"/>
    <mergeCell ref="A29:A32"/>
    <mergeCell ref="A33:A38"/>
    <mergeCell ref="A16:B16"/>
    <mergeCell ref="H11:I11"/>
    <mergeCell ref="A15:D15"/>
    <mergeCell ref="A21:A28"/>
  </mergeCells>
  <printOptions/>
  <pageMargins left="0.75" right="0.75" top="1" bottom="1" header="0.5" footer="0.5"/>
  <pageSetup horizontalDpi="600" verticalDpi="600" orientation="portrait" paperSize="9" scale="89" r:id="rId2"/>
  <headerFooter alignWithMargins="0"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="85" zoomScaleSheetLayoutView="85" zoomScalePageLayoutView="85" workbookViewId="0" topLeftCell="A5">
      <selection activeCell="B4" sqref="B4"/>
    </sheetView>
  </sheetViews>
  <sheetFormatPr defaultColWidth="9.00390625" defaultRowHeight="12.75"/>
  <cols>
    <col min="1" max="1" width="25.00390625" style="0" customWidth="1"/>
    <col min="2" max="6" width="14.375" style="0" customWidth="1"/>
    <col min="7" max="7" width="6.00390625" style="0" customWidth="1"/>
    <col min="8" max="9" width="6.375" style="0" customWidth="1"/>
    <col min="10" max="10" width="14.50390625" style="0" customWidth="1"/>
  </cols>
  <sheetData>
    <row r="1" ht="12.75">
      <c r="A1" t="s">
        <v>273</v>
      </c>
    </row>
    <row r="2" spans="1:9" ht="15.75" customHeight="1">
      <c r="A2" s="148"/>
      <c r="B2" s="673" t="s">
        <v>795</v>
      </c>
      <c r="C2" s="673"/>
      <c r="D2" s="673"/>
      <c r="E2" s="673"/>
      <c r="F2" s="674"/>
      <c r="G2" s="148"/>
      <c r="H2" s="148"/>
      <c r="I2" s="148"/>
    </row>
    <row r="3" spans="1:6" ht="30" customHeight="1">
      <c r="A3" s="313" t="s">
        <v>782</v>
      </c>
      <c r="B3" s="313" t="s">
        <v>601</v>
      </c>
      <c r="C3" s="313" t="s">
        <v>783</v>
      </c>
      <c r="D3" s="313" t="s">
        <v>602</v>
      </c>
      <c r="E3" s="357" t="s">
        <v>740</v>
      </c>
      <c r="F3" s="358"/>
    </row>
    <row r="4" spans="1:5" ht="30.75" customHeight="1">
      <c r="A4" s="315" t="s">
        <v>784</v>
      </c>
      <c r="B4" s="154">
        <f>84.58164*Главная!B134</f>
        <v>2867.317596</v>
      </c>
      <c r="C4" s="154">
        <f>100.72458*Главная!B134</f>
        <v>3414.563262</v>
      </c>
      <c r="D4" s="154">
        <f>115.23072*Главная!B134</f>
        <v>3906.321408</v>
      </c>
      <c r="E4" s="154">
        <f>128.2842*Главная!B134</f>
        <v>4348.834379999999</v>
      </c>
    </row>
    <row r="5" spans="1:5" ht="30.75" customHeight="1">
      <c r="A5" s="315" t="s">
        <v>785</v>
      </c>
      <c r="B5" s="317" t="s">
        <v>306</v>
      </c>
      <c r="C5" s="317" t="s">
        <v>306</v>
      </c>
      <c r="D5" s="317" t="s">
        <v>306</v>
      </c>
      <c r="E5" s="317" t="s">
        <v>306</v>
      </c>
    </row>
    <row r="6" spans="1:5" ht="30.75" customHeight="1">
      <c r="A6" s="315" t="s">
        <v>786</v>
      </c>
      <c r="B6" s="154">
        <f>65.94258*Главная!B134</f>
        <v>2235.453462</v>
      </c>
      <c r="C6" s="154">
        <f>94.25922*Главная!B134</f>
        <v>3195.387558</v>
      </c>
      <c r="D6" s="154">
        <f>119.691*Главная!B134</f>
        <v>4057.5249</v>
      </c>
      <c r="E6" s="154">
        <f>142.52436*Главная!B134</f>
        <v>4831.575804</v>
      </c>
    </row>
    <row r="7" spans="1:5" ht="30.75" customHeight="1">
      <c r="A7" s="315" t="s">
        <v>787</v>
      </c>
      <c r="B7" s="154">
        <f>89.90124*Главная!B134</f>
        <v>3047.652036</v>
      </c>
      <c r="C7" s="154">
        <f>118.19742*Главная!B134</f>
        <v>4006.8925379999996</v>
      </c>
      <c r="D7" s="154">
        <f>143.67012*Главная!B134</f>
        <v>4870.417068</v>
      </c>
      <c r="E7" s="154">
        <f>166.50348*Главная!B134</f>
        <v>5644.4679719999995</v>
      </c>
    </row>
    <row r="8" spans="1:5" ht="30.75" customHeight="1">
      <c r="A8" s="315" t="s">
        <v>788</v>
      </c>
      <c r="B8" s="154">
        <f>64.7559*Главная!B134</f>
        <v>2195.2250099999997</v>
      </c>
      <c r="C8" s="154">
        <f>92.52012*Главная!B134</f>
        <v>3136.432068</v>
      </c>
      <c r="D8" s="154">
        <f>117.52224*Главная!B134</f>
        <v>3984.0039359999996</v>
      </c>
      <c r="E8" s="154">
        <f>139.9464*Главная!B134</f>
        <v>4744.18296</v>
      </c>
    </row>
    <row r="9" spans="1:5" ht="30.75" customHeight="1">
      <c r="A9" s="315" t="s">
        <v>789</v>
      </c>
      <c r="B9" s="317" t="s">
        <v>306</v>
      </c>
      <c r="C9" s="317" t="s">
        <v>306</v>
      </c>
      <c r="D9" s="317" t="s">
        <v>306</v>
      </c>
      <c r="E9" s="317" t="s">
        <v>306</v>
      </c>
    </row>
    <row r="10" spans="1:5" ht="24" customHeight="1">
      <c r="A10" s="316" t="s">
        <v>586</v>
      </c>
      <c r="B10" s="314" t="s">
        <v>790</v>
      </c>
      <c r="C10" s="314" t="s">
        <v>791</v>
      </c>
      <c r="D10" s="314" t="s">
        <v>792</v>
      </c>
      <c r="E10" s="314" t="s">
        <v>793</v>
      </c>
    </row>
    <row r="11" ht="12.75">
      <c r="I11" s="186"/>
    </row>
    <row r="12" ht="12.75">
      <c r="I12" s="186"/>
    </row>
    <row r="13" ht="12.75">
      <c r="I13" s="186"/>
    </row>
    <row r="14" spans="1:9" ht="12.75">
      <c r="A14" s="146" t="s">
        <v>794</v>
      </c>
      <c r="H14" s="147"/>
      <c r="I14" s="186"/>
    </row>
    <row r="15" ht="12.75">
      <c r="B15" s="8"/>
    </row>
    <row r="18" ht="15">
      <c r="A18" s="78"/>
    </row>
    <row r="19" ht="12.75">
      <c r="A19" s="146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88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0"/>
  <sheetViews>
    <sheetView view="pageLayout" workbookViewId="0" topLeftCell="A91">
      <selection activeCell="D120" sqref="D120"/>
    </sheetView>
  </sheetViews>
  <sheetFormatPr defaultColWidth="9.00390625" defaultRowHeight="12.75"/>
  <cols>
    <col min="1" max="1" width="29.00390625" style="0" customWidth="1"/>
  </cols>
  <sheetData>
    <row r="2" ht="15">
      <c r="A2" s="321" t="s">
        <v>799</v>
      </c>
    </row>
    <row r="4" spans="1:4" ht="15">
      <c r="A4" s="322" t="s">
        <v>800</v>
      </c>
      <c r="B4" s="438" t="s">
        <v>801</v>
      </c>
      <c r="C4" s="438"/>
      <c r="D4" s="322"/>
    </row>
    <row r="5" spans="5:6" ht="15">
      <c r="E5" s="439" t="s">
        <v>802</v>
      </c>
      <c r="F5" s="440"/>
    </row>
    <row r="6" spans="1:6" ht="41.25">
      <c r="A6" s="323" t="s">
        <v>374</v>
      </c>
      <c r="B6" s="324" t="s">
        <v>803</v>
      </c>
      <c r="C6" s="441" t="s">
        <v>804</v>
      </c>
      <c r="D6" s="441"/>
      <c r="E6" s="325" t="s">
        <v>1029</v>
      </c>
      <c r="F6" s="325" t="s">
        <v>16</v>
      </c>
    </row>
    <row r="7" spans="1:7" ht="12.75">
      <c r="A7" s="140" t="s">
        <v>805</v>
      </c>
      <c r="B7" s="326" t="s">
        <v>806</v>
      </c>
      <c r="C7" s="442" t="s">
        <v>1030</v>
      </c>
      <c r="D7" s="443"/>
      <c r="E7" s="327">
        <f>215*Главная!$B$135</f>
        <v>6063</v>
      </c>
      <c r="F7" s="328">
        <f>75.08*Главная!$B$135</f>
        <v>2117.256</v>
      </c>
      <c r="G7" s="329"/>
    </row>
    <row r="8" spans="1:7" ht="12.75">
      <c r="A8" s="444" t="s">
        <v>807</v>
      </c>
      <c r="B8" s="140" t="s">
        <v>808</v>
      </c>
      <c r="C8" s="447" t="s">
        <v>809</v>
      </c>
      <c r="D8" s="448"/>
      <c r="E8" s="449">
        <f>295*Главная!$B$135</f>
        <v>8319</v>
      </c>
      <c r="F8" s="444">
        <f>105.48*Главная!$B$135</f>
        <v>2974.536</v>
      </c>
      <c r="G8" s="329"/>
    </row>
    <row r="9" spans="1:6" ht="12.75">
      <c r="A9" s="445"/>
      <c r="B9" s="140" t="s">
        <v>810</v>
      </c>
      <c r="C9" s="447" t="s">
        <v>811</v>
      </c>
      <c r="D9" s="448"/>
      <c r="E9" s="450"/>
      <c r="F9" s="445"/>
    </row>
    <row r="10" spans="1:6" ht="12.75">
      <c r="A10" s="445"/>
      <c r="B10" s="326" t="s">
        <v>812</v>
      </c>
      <c r="C10" s="442" t="s">
        <v>813</v>
      </c>
      <c r="D10" s="443"/>
      <c r="E10" s="450"/>
      <c r="F10" s="445"/>
    </row>
    <row r="11" spans="1:6" ht="12.75">
      <c r="A11" s="445"/>
      <c r="B11" s="326" t="s">
        <v>814</v>
      </c>
      <c r="C11" s="442" t="s">
        <v>815</v>
      </c>
      <c r="D11" s="443"/>
      <c r="E11" s="450"/>
      <c r="F11" s="445"/>
    </row>
    <row r="12" spans="1:6" ht="12.75">
      <c r="A12" s="445"/>
      <c r="B12" s="140" t="s">
        <v>816</v>
      </c>
      <c r="C12" s="447" t="s">
        <v>817</v>
      </c>
      <c r="D12" s="448"/>
      <c r="E12" s="450"/>
      <c r="F12" s="445"/>
    </row>
    <row r="13" spans="1:6" ht="12.75">
      <c r="A13" s="445"/>
      <c r="B13" s="140" t="s">
        <v>818</v>
      </c>
      <c r="C13" s="447" t="s">
        <v>819</v>
      </c>
      <c r="D13" s="448"/>
      <c r="E13" s="450"/>
      <c r="F13" s="445"/>
    </row>
    <row r="14" spans="1:6" ht="12.75">
      <c r="A14" s="445"/>
      <c r="B14" s="140" t="s">
        <v>820</v>
      </c>
      <c r="C14" s="447" t="s">
        <v>821</v>
      </c>
      <c r="D14" s="448"/>
      <c r="E14" s="450"/>
      <c r="F14" s="445"/>
    </row>
    <row r="15" spans="1:6" ht="12.75">
      <c r="A15" s="445"/>
      <c r="B15" s="140" t="s">
        <v>822</v>
      </c>
      <c r="C15" s="447" t="s">
        <v>823</v>
      </c>
      <c r="D15" s="448"/>
      <c r="E15" s="450"/>
      <c r="F15" s="445"/>
    </row>
    <row r="16" spans="1:6" ht="12.75">
      <c r="A16" s="445"/>
      <c r="B16" s="140" t="s">
        <v>824</v>
      </c>
      <c r="C16" s="447" t="s">
        <v>825</v>
      </c>
      <c r="D16" s="448"/>
      <c r="E16" s="450"/>
      <c r="F16" s="445"/>
    </row>
    <row r="17" spans="1:6" ht="12.75">
      <c r="A17" s="445"/>
      <c r="B17" s="140" t="s">
        <v>826</v>
      </c>
      <c r="C17" s="447" t="s">
        <v>827</v>
      </c>
      <c r="D17" s="448"/>
      <c r="E17" s="450"/>
      <c r="F17" s="445"/>
    </row>
    <row r="18" spans="1:6" ht="12.75">
      <c r="A18" s="446"/>
      <c r="B18" s="140" t="s">
        <v>828</v>
      </c>
      <c r="C18" s="447" t="s">
        <v>829</v>
      </c>
      <c r="D18" s="448"/>
      <c r="E18" s="451"/>
      <c r="F18" s="446"/>
    </row>
    <row r="19" spans="1:6" ht="12.75">
      <c r="A19" s="452" t="s">
        <v>830</v>
      </c>
      <c r="B19" s="140" t="s">
        <v>831</v>
      </c>
      <c r="C19" s="447" t="s">
        <v>832</v>
      </c>
      <c r="D19" s="448"/>
      <c r="E19" s="449">
        <f>339*Главная!$B$135</f>
        <v>9559.8</v>
      </c>
      <c r="F19" s="444">
        <f>121.21*Главная!$B$135</f>
        <v>3418.122</v>
      </c>
    </row>
    <row r="20" spans="1:6" ht="12.75">
      <c r="A20" s="452"/>
      <c r="B20" s="140" t="s">
        <v>833</v>
      </c>
      <c r="C20" s="447" t="s">
        <v>834</v>
      </c>
      <c r="D20" s="448"/>
      <c r="E20" s="451"/>
      <c r="F20" s="446"/>
    </row>
    <row r="21" spans="1:6" ht="12.75">
      <c r="A21" s="453" t="s">
        <v>835</v>
      </c>
      <c r="B21" s="140" t="s">
        <v>836</v>
      </c>
      <c r="C21" s="447" t="s">
        <v>837</v>
      </c>
      <c r="D21" s="448"/>
      <c r="E21" s="449">
        <f>349*Главная!$B$135</f>
        <v>9841.8</v>
      </c>
      <c r="F21" s="444">
        <f>124.79*Главная!$B$135</f>
        <v>3519.078</v>
      </c>
    </row>
    <row r="22" spans="1:6" ht="12.75">
      <c r="A22" s="454"/>
      <c r="B22" s="140" t="s">
        <v>838</v>
      </c>
      <c r="C22" s="447" t="s">
        <v>839</v>
      </c>
      <c r="D22" s="448"/>
      <c r="E22" s="450"/>
      <c r="F22" s="445"/>
    </row>
    <row r="23" spans="1:6" ht="12.75">
      <c r="A23" s="454"/>
      <c r="B23" s="140" t="s">
        <v>840</v>
      </c>
      <c r="C23" s="447" t="s">
        <v>841</v>
      </c>
      <c r="D23" s="448"/>
      <c r="E23" s="450"/>
      <c r="F23" s="445"/>
    </row>
    <row r="24" spans="1:6" ht="12.75">
      <c r="A24" s="454"/>
      <c r="B24" s="140" t="s">
        <v>842</v>
      </c>
      <c r="C24" s="447" t="s">
        <v>843</v>
      </c>
      <c r="D24" s="448"/>
      <c r="E24" s="450"/>
      <c r="F24" s="445"/>
    </row>
    <row r="25" spans="1:6" ht="12.75">
      <c r="A25" s="454"/>
      <c r="B25" s="326" t="s">
        <v>844</v>
      </c>
      <c r="C25" s="442" t="s">
        <v>845</v>
      </c>
      <c r="D25" s="443"/>
      <c r="E25" s="450"/>
      <c r="F25" s="445"/>
    </row>
    <row r="26" spans="1:6" ht="12.75">
      <c r="A26" s="454"/>
      <c r="B26" s="326" t="s">
        <v>846</v>
      </c>
      <c r="C26" s="442" t="s">
        <v>847</v>
      </c>
      <c r="D26" s="443"/>
      <c r="E26" s="450"/>
      <c r="F26" s="445"/>
    </row>
    <row r="27" spans="1:6" ht="12.75">
      <c r="A27" s="455"/>
      <c r="B27" s="140" t="s">
        <v>848</v>
      </c>
      <c r="C27" s="447" t="s">
        <v>849</v>
      </c>
      <c r="D27" s="448"/>
      <c r="E27" s="451"/>
      <c r="F27" s="446"/>
    </row>
    <row r="28" spans="1:6" ht="12.75">
      <c r="A28" s="444" t="s">
        <v>850</v>
      </c>
      <c r="B28" s="326" t="s">
        <v>851</v>
      </c>
      <c r="C28" s="442" t="s">
        <v>852</v>
      </c>
      <c r="D28" s="443"/>
      <c r="E28" s="449">
        <f>349*Главная!$B$135</f>
        <v>9841.8</v>
      </c>
      <c r="F28" s="444">
        <f>124.79*Главная!$B$135</f>
        <v>3519.078</v>
      </c>
    </row>
    <row r="29" spans="1:6" ht="12.75">
      <c r="A29" s="445"/>
      <c r="B29" s="326" t="s">
        <v>853</v>
      </c>
      <c r="C29" s="442" t="s">
        <v>854</v>
      </c>
      <c r="D29" s="443"/>
      <c r="E29" s="450"/>
      <c r="F29" s="445"/>
    </row>
    <row r="30" spans="1:6" ht="12.75">
      <c r="A30" s="445"/>
      <c r="B30" s="326" t="s">
        <v>855</v>
      </c>
      <c r="C30" s="442" t="s">
        <v>856</v>
      </c>
      <c r="D30" s="443"/>
      <c r="E30" s="450"/>
      <c r="F30" s="445"/>
    </row>
    <row r="31" spans="1:6" ht="12.75">
      <c r="A31" s="445"/>
      <c r="B31" s="326" t="s">
        <v>857</v>
      </c>
      <c r="C31" s="442" t="s">
        <v>858</v>
      </c>
      <c r="D31" s="443"/>
      <c r="E31" s="450"/>
      <c r="F31" s="445"/>
    </row>
    <row r="32" spans="1:6" ht="12.75">
      <c r="A32" s="445"/>
      <c r="B32" s="326" t="s">
        <v>859</v>
      </c>
      <c r="C32" s="442" t="s">
        <v>860</v>
      </c>
      <c r="D32" s="443"/>
      <c r="E32" s="450"/>
      <c r="F32" s="445"/>
    </row>
    <row r="33" spans="1:6" ht="12.75">
      <c r="A33" s="446"/>
      <c r="B33" s="140" t="s">
        <v>861</v>
      </c>
      <c r="C33" s="447" t="s">
        <v>862</v>
      </c>
      <c r="D33" s="448"/>
      <c r="E33" s="451"/>
      <c r="F33" s="446"/>
    </row>
    <row r="34" spans="1:6" ht="12.75">
      <c r="A34" s="452" t="s">
        <v>863</v>
      </c>
      <c r="B34" s="140" t="s">
        <v>864</v>
      </c>
      <c r="C34" s="447" t="s">
        <v>865</v>
      </c>
      <c r="D34" s="448"/>
      <c r="E34" s="449">
        <f>349*Главная!$B$135</f>
        <v>9841.8</v>
      </c>
      <c r="F34" s="444">
        <f>124.79*Главная!$B$135</f>
        <v>3519.078</v>
      </c>
    </row>
    <row r="35" spans="1:6" ht="12.75">
      <c r="A35" s="452"/>
      <c r="B35" s="331" t="s">
        <v>866</v>
      </c>
      <c r="C35" s="442" t="s">
        <v>867</v>
      </c>
      <c r="D35" s="443"/>
      <c r="E35" s="450"/>
      <c r="F35" s="445"/>
    </row>
    <row r="36" spans="1:6" ht="12.75">
      <c r="A36" s="452"/>
      <c r="B36" s="326" t="s">
        <v>868</v>
      </c>
      <c r="C36" s="442" t="s">
        <v>869</v>
      </c>
      <c r="D36" s="443"/>
      <c r="E36" s="450"/>
      <c r="F36" s="445"/>
    </row>
    <row r="37" spans="1:6" ht="12.75">
      <c r="A37" s="452"/>
      <c r="B37" s="140" t="s">
        <v>870</v>
      </c>
      <c r="C37" s="447" t="s">
        <v>871</v>
      </c>
      <c r="D37" s="448"/>
      <c r="E37" s="450"/>
      <c r="F37" s="445"/>
    </row>
    <row r="38" spans="1:6" ht="12.75">
      <c r="A38" s="452"/>
      <c r="B38" s="140" t="s">
        <v>872</v>
      </c>
      <c r="C38" s="447" t="s">
        <v>873</v>
      </c>
      <c r="D38" s="448"/>
      <c r="E38" s="450"/>
      <c r="F38" s="445"/>
    </row>
    <row r="39" spans="1:6" ht="12.75">
      <c r="A39" s="452"/>
      <c r="B39" s="140" t="s">
        <v>874</v>
      </c>
      <c r="C39" s="447" t="s">
        <v>875</v>
      </c>
      <c r="D39" s="448"/>
      <c r="E39" s="450"/>
      <c r="F39" s="445"/>
    </row>
    <row r="40" spans="1:6" ht="12.75">
      <c r="A40" s="452"/>
      <c r="B40" s="140" t="s">
        <v>876</v>
      </c>
      <c r="C40" s="447" t="s">
        <v>877</v>
      </c>
      <c r="D40" s="448"/>
      <c r="E40" s="450"/>
      <c r="F40" s="445"/>
    </row>
    <row r="41" spans="1:6" ht="12.75">
      <c r="A41" s="452"/>
      <c r="B41" s="326" t="s">
        <v>878</v>
      </c>
      <c r="C41" s="442" t="s">
        <v>879</v>
      </c>
      <c r="D41" s="443"/>
      <c r="E41" s="450"/>
      <c r="F41" s="445"/>
    </row>
    <row r="42" spans="1:6" ht="12.75">
      <c r="A42" s="452"/>
      <c r="B42" s="326" t="s">
        <v>880</v>
      </c>
      <c r="C42" s="442" t="s">
        <v>881</v>
      </c>
      <c r="D42" s="443"/>
      <c r="E42" s="450"/>
      <c r="F42" s="445"/>
    </row>
    <row r="43" spans="1:6" ht="12.75">
      <c r="A43" s="452"/>
      <c r="B43" s="140" t="s">
        <v>882</v>
      </c>
      <c r="C43" s="447" t="s">
        <v>883</v>
      </c>
      <c r="D43" s="448"/>
      <c r="E43" s="450"/>
      <c r="F43" s="445"/>
    </row>
    <row r="44" spans="1:6" ht="12.75">
      <c r="A44" s="452"/>
      <c r="B44" s="140" t="s">
        <v>884</v>
      </c>
      <c r="C44" s="447" t="s">
        <v>885</v>
      </c>
      <c r="D44" s="448"/>
      <c r="E44" s="450"/>
      <c r="F44" s="445"/>
    </row>
    <row r="45" spans="1:6" ht="12.75">
      <c r="A45" s="452"/>
      <c r="B45" s="326" t="s">
        <v>886</v>
      </c>
      <c r="C45" s="442" t="s">
        <v>887</v>
      </c>
      <c r="D45" s="443"/>
      <c r="E45" s="450"/>
      <c r="F45" s="445"/>
    </row>
    <row r="46" spans="1:6" ht="12.75">
      <c r="A46" s="452"/>
      <c r="B46" s="326" t="s">
        <v>888</v>
      </c>
      <c r="C46" s="442" t="s">
        <v>889</v>
      </c>
      <c r="D46" s="443"/>
      <c r="E46" s="450"/>
      <c r="F46" s="445"/>
    </row>
    <row r="47" spans="1:6" ht="12.75">
      <c r="A47" s="452"/>
      <c r="B47" s="332" t="s">
        <v>890</v>
      </c>
      <c r="C47" s="456" t="s">
        <v>891</v>
      </c>
      <c r="D47" s="457"/>
      <c r="E47" s="450"/>
      <c r="F47" s="445"/>
    </row>
    <row r="48" spans="1:6" ht="12.75">
      <c r="A48" s="452"/>
      <c r="B48" s="140" t="s">
        <v>892</v>
      </c>
      <c r="C48" s="447" t="s">
        <v>893</v>
      </c>
      <c r="D48" s="448"/>
      <c r="E48" s="450"/>
      <c r="F48" s="445"/>
    </row>
    <row r="49" spans="1:6" ht="12.75">
      <c r="A49" s="452"/>
      <c r="B49" s="326" t="s">
        <v>894</v>
      </c>
      <c r="C49" s="442" t="s">
        <v>895</v>
      </c>
      <c r="D49" s="443"/>
      <c r="E49" s="450"/>
      <c r="F49" s="445"/>
    </row>
    <row r="50" spans="1:6" ht="12.75">
      <c r="A50" s="452"/>
      <c r="B50" s="326" t="s">
        <v>896</v>
      </c>
      <c r="C50" s="442" t="s">
        <v>897</v>
      </c>
      <c r="D50" s="443"/>
      <c r="E50" s="450"/>
      <c r="F50" s="445"/>
    </row>
    <row r="51" spans="1:6" ht="12.75">
      <c r="A51" s="452"/>
      <c r="B51" s="140" t="s">
        <v>898</v>
      </c>
      <c r="C51" s="447" t="s">
        <v>899</v>
      </c>
      <c r="D51" s="448"/>
      <c r="E51" s="450"/>
      <c r="F51" s="445"/>
    </row>
    <row r="52" spans="1:6" ht="12.75">
      <c r="A52" s="452"/>
      <c r="B52" s="140" t="s">
        <v>900</v>
      </c>
      <c r="C52" s="447" t="s">
        <v>901</v>
      </c>
      <c r="D52" s="448"/>
      <c r="E52" s="450"/>
      <c r="F52" s="445"/>
    </row>
    <row r="53" spans="1:6" ht="12.75">
      <c r="A53" s="452"/>
      <c r="B53" s="140" t="s">
        <v>902</v>
      </c>
      <c r="C53" s="447" t="s">
        <v>903</v>
      </c>
      <c r="D53" s="448"/>
      <c r="E53" s="450"/>
      <c r="F53" s="445"/>
    </row>
    <row r="54" spans="1:6" ht="12.75">
      <c r="A54" s="452"/>
      <c r="B54" s="140" t="s">
        <v>904</v>
      </c>
      <c r="C54" s="447" t="s">
        <v>905</v>
      </c>
      <c r="D54" s="448"/>
      <c r="E54" s="450"/>
      <c r="F54" s="445"/>
    </row>
    <row r="55" spans="1:6" ht="12.75">
      <c r="A55" s="452"/>
      <c r="B55" s="140" t="s">
        <v>906</v>
      </c>
      <c r="C55" s="447" t="s">
        <v>907</v>
      </c>
      <c r="D55" s="448"/>
      <c r="E55" s="450"/>
      <c r="F55" s="445"/>
    </row>
    <row r="56" spans="1:6" ht="12.75">
      <c r="A56" s="452"/>
      <c r="B56" s="326" t="s">
        <v>908</v>
      </c>
      <c r="C56" s="442" t="s">
        <v>909</v>
      </c>
      <c r="D56" s="443"/>
      <c r="E56" s="450"/>
      <c r="F56" s="445"/>
    </row>
    <row r="57" spans="1:6" ht="12.75">
      <c r="A57" s="452"/>
      <c r="B57" s="140" t="s">
        <v>910</v>
      </c>
      <c r="C57" s="447" t="s">
        <v>911</v>
      </c>
      <c r="D57" s="448"/>
      <c r="E57" s="450"/>
      <c r="F57" s="445"/>
    </row>
    <row r="58" spans="1:6" ht="12.75">
      <c r="A58" s="452"/>
      <c r="B58" s="140" t="s">
        <v>912</v>
      </c>
      <c r="C58" s="447" t="s">
        <v>913</v>
      </c>
      <c r="D58" s="448"/>
      <c r="E58" s="450"/>
      <c r="F58" s="445"/>
    </row>
    <row r="59" spans="1:6" ht="12.75">
      <c r="A59" s="452"/>
      <c r="B59" s="140" t="s">
        <v>914</v>
      </c>
      <c r="C59" s="447" t="s">
        <v>915</v>
      </c>
      <c r="D59" s="448"/>
      <c r="E59" s="450"/>
      <c r="F59" s="445"/>
    </row>
    <row r="60" spans="1:6" ht="12.75">
      <c r="A60" s="452"/>
      <c r="B60" s="140" t="s">
        <v>916</v>
      </c>
      <c r="C60" s="447" t="s">
        <v>917</v>
      </c>
      <c r="D60" s="448"/>
      <c r="E60" s="450"/>
      <c r="F60" s="445"/>
    </row>
    <row r="61" spans="1:6" ht="12.75">
      <c r="A61" s="452"/>
      <c r="B61" s="140" t="s">
        <v>918</v>
      </c>
      <c r="C61" s="447" t="s">
        <v>919</v>
      </c>
      <c r="D61" s="448"/>
      <c r="E61" s="450"/>
      <c r="F61" s="445"/>
    </row>
    <row r="62" spans="1:6" ht="12.75">
      <c r="A62" s="452"/>
      <c r="B62" s="140" t="s">
        <v>920</v>
      </c>
      <c r="C62" s="447" t="s">
        <v>921</v>
      </c>
      <c r="D62" s="448"/>
      <c r="E62" s="450"/>
      <c r="F62" s="445"/>
    </row>
    <row r="63" spans="1:6" ht="12.75">
      <c r="A63" s="452"/>
      <c r="B63" s="140" t="s">
        <v>922</v>
      </c>
      <c r="C63" s="447" t="s">
        <v>923</v>
      </c>
      <c r="D63" s="448"/>
      <c r="E63" s="450"/>
      <c r="F63" s="445"/>
    </row>
    <row r="64" spans="1:6" ht="12.75">
      <c r="A64" s="452"/>
      <c r="B64" s="140" t="s">
        <v>924</v>
      </c>
      <c r="C64" s="447" t="s">
        <v>925</v>
      </c>
      <c r="D64" s="448"/>
      <c r="E64" s="450"/>
      <c r="F64" s="445"/>
    </row>
    <row r="65" spans="1:6" ht="12.75">
      <c r="A65" s="452"/>
      <c r="B65" s="326" t="s">
        <v>926</v>
      </c>
      <c r="C65" s="442" t="s">
        <v>927</v>
      </c>
      <c r="D65" s="443"/>
      <c r="E65" s="450"/>
      <c r="F65" s="445"/>
    </row>
    <row r="66" spans="1:6" ht="12.75">
      <c r="A66" s="452"/>
      <c r="B66" s="140" t="s">
        <v>928</v>
      </c>
      <c r="C66" s="447" t="s">
        <v>929</v>
      </c>
      <c r="D66" s="448"/>
      <c r="E66" s="451"/>
      <c r="F66" s="446"/>
    </row>
    <row r="67" spans="1:6" ht="12.75">
      <c r="A67" s="452" t="s">
        <v>930</v>
      </c>
      <c r="B67" s="326" t="s">
        <v>931</v>
      </c>
      <c r="C67" s="442" t="s">
        <v>932</v>
      </c>
      <c r="D67" s="443"/>
      <c r="E67" s="449">
        <f>415*Главная!$B$135</f>
        <v>11703</v>
      </c>
      <c r="F67" s="444">
        <f>148.38*Главная!$B$135</f>
        <v>4184.316</v>
      </c>
    </row>
    <row r="68" spans="1:6" ht="12.75">
      <c r="A68" s="452"/>
      <c r="B68" s="140" t="s">
        <v>933</v>
      </c>
      <c r="C68" s="447" t="s">
        <v>934</v>
      </c>
      <c r="D68" s="448"/>
      <c r="E68" s="450"/>
      <c r="F68" s="445"/>
    </row>
    <row r="69" spans="1:6" ht="12.75">
      <c r="A69" s="452"/>
      <c r="B69" s="140" t="s">
        <v>935</v>
      </c>
      <c r="C69" s="447" t="s">
        <v>936</v>
      </c>
      <c r="D69" s="448"/>
      <c r="E69" s="450"/>
      <c r="F69" s="445"/>
    </row>
    <row r="70" spans="1:6" ht="12.75">
      <c r="A70" s="452"/>
      <c r="B70" s="140" t="s">
        <v>937</v>
      </c>
      <c r="C70" s="447" t="s">
        <v>938</v>
      </c>
      <c r="D70" s="448"/>
      <c r="E70" s="450"/>
      <c r="F70" s="445"/>
    </row>
    <row r="71" spans="1:6" ht="12.75">
      <c r="A71" s="452"/>
      <c r="B71" s="140" t="s">
        <v>939</v>
      </c>
      <c r="C71" s="447" t="s">
        <v>940</v>
      </c>
      <c r="D71" s="448"/>
      <c r="E71" s="450"/>
      <c r="F71" s="445"/>
    </row>
    <row r="72" spans="1:6" ht="12.75">
      <c r="A72" s="452"/>
      <c r="B72" s="326" t="s">
        <v>941</v>
      </c>
      <c r="C72" s="442" t="s">
        <v>942</v>
      </c>
      <c r="D72" s="443"/>
      <c r="E72" s="450"/>
      <c r="F72" s="445"/>
    </row>
    <row r="73" spans="1:6" ht="12.75">
      <c r="A73" s="452"/>
      <c r="B73" s="140" t="s">
        <v>943</v>
      </c>
      <c r="C73" s="447" t="s">
        <v>944</v>
      </c>
      <c r="D73" s="448"/>
      <c r="E73" s="450"/>
      <c r="F73" s="445"/>
    </row>
    <row r="74" spans="1:6" ht="12.75">
      <c r="A74" s="452"/>
      <c r="B74" s="140" t="s">
        <v>945</v>
      </c>
      <c r="C74" s="447" t="s">
        <v>946</v>
      </c>
      <c r="D74" s="448"/>
      <c r="E74" s="451"/>
      <c r="F74" s="446"/>
    </row>
    <row r="75" spans="1:6" ht="12.75">
      <c r="A75" s="452" t="s">
        <v>947</v>
      </c>
      <c r="B75" s="140" t="s">
        <v>948</v>
      </c>
      <c r="C75" s="447" t="s">
        <v>949</v>
      </c>
      <c r="D75" s="448"/>
      <c r="E75" s="449">
        <f>490*Главная!$B$135</f>
        <v>13818</v>
      </c>
      <c r="F75" s="444">
        <f>175.2*Главная!$B$135</f>
        <v>4940.639999999999</v>
      </c>
    </row>
    <row r="76" spans="1:6" ht="12.75">
      <c r="A76" s="452"/>
      <c r="B76" s="140" t="s">
        <v>950</v>
      </c>
      <c r="C76" s="447" t="s">
        <v>951</v>
      </c>
      <c r="D76" s="448"/>
      <c r="E76" s="450"/>
      <c r="F76" s="445"/>
    </row>
    <row r="77" spans="1:6" ht="12.75">
      <c r="A77" s="452"/>
      <c r="B77" s="326" t="s">
        <v>952</v>
      </c>
      <c r="C77" s="442" t="s">
        <v>953</v>
      </c>
      <c r="D77" s="443"/>
      <c r="E77" s="450"/>
      <c r="F77" s="445"/>
    </row>
    <row r="78" spans="1:6" ht="12.75">
      <c r="A78" s="452"/>
      <c r="B78" s="140" t="s">
        <v>954</v>
      </c>
      <c r="C78" s="447" t="s">
        <v>955</v>
      </c>
      <c r="D78" s="448"/>
      <c r="E78" s="450"/>
      <c r="F78" s="445"/>
    </row>
    <row r="79" spans="1:6" ht="12.75">
      <c r="A79" s="444" t="s">
        <v>956</v>
      </c>
      <c r="B79" s="326" t="s">
        <v>957</v>
      </c>
      <c r="C79" s="442" t="s">
        <v>958</v>
      </c>
      <c r="D79" s="443"/>
      <c r="E79" s="449">
        <f>528*Главная!$B$135</f>
        <v>14889.6</v>
      </c>
      <c r="F79" s="444">
        <f>188.79*Главная!$B$135</f>
        <v>5323.878</v>
      </c>
    </row>
    <row r="80" spans="1:6" ht="12.75">
      <c r="A80" s="445"/>
      <c r="B80" s="326" t="s">
        <v>959</v>
      </c>
      <c r="C80" s="442" t="s">
        <v>960</v>
      </c>
      <c r="D80" s="443"/>
      <c r="E80" s="450"/>
      <c r="F80" s="445"/>
    </row>
    <row r="81" spans="1:6" ht="12.75">
      <c r="A81" s="445"/>
      <c r="B81" s="140" t="s">
        <v>961</v>
      </c>
      <c r="C81" s="447" t="s">
        <v>962</v>
      </c>
      <c r="D81" s="448"/>
      <c r="E81" s="450"/>
      <c r="F81" s="445"/>
    </row>
    <row r="82" spans="1:6" ht="12.75">
      <c r="A82" s="445"/>
      <c r="B82" s="326" t="s">
        <v>963</v>
      </c>
      <c r="C82" s="442" t="s">
        <v>964</v>
      </c>
      <c r="D82" s="443"/>
      <c r="E82" s="450"/>
      <c r="F82" s="445"/>
    </row>
    <row r="83" spans="1:6" ht="12.75">
      <c r="A83" s="445"/>
      <c r="B83" s="326" t="s">
        <v>965</v>
      </c>
      <c r="C83" s="442" t="s">
        <v>966</v>
      </c>
      <c r="D83" s="443"/>
      <c r="E83" s="450"/>
      <c r="F83" s="445"/>
    </row>
    <row r="84" spans="1:6" ht="12.75">
      <c r="A84" s="445"/>
      <c r="B84" s="326" t="s">
        <v>967</v>
      </c>
      <c r="C84" s="442" t="s">
        <v>968</v>
      </c>
      <c r="D84" s="443"/>
      <c r="E84" s="450"/>
      <c r="F84" s="445"/>
    </row>
    <row r="85" spans="1:6" ht="12.75">
      <c r="A85" s="445"/>
      <c r="B85" s="326" t="s">
        <v>969</v>
      </c>
      <c r="C85" s="442" t="s">
        <v>970</v>
      </c>
      <c r="D85" s="443"/>
      <c r="E85" s="450"/>
      <c r="F85" s="445"/>
    </row>
    <row r="86" spans="1:6" ht="12.75">
      <c r="A86" s="445"/>
      <c r="B86" s="326" t="s">
        <v>971</v>
      </c>
      <c r="C86" s="442" t="s">
        <v>972</v>
      </c>
      <c r="D86" s="443"/>
      <c r="E86" s="450"/>
      <c r="F86" s="445"/>
    </row>
    <row r="87" spans="1:6" ht="12.75">
      <c r="A87" s="445"/>
      <c r="B87" s="140" t="s">
        <v>973</v>
      </c>
      <c r="C87" s="447" t="s">
        <v>974</v>
      </c>
      <c r="D87" s="448"/>
      <c r="E87" s="450"/>
      <c r="F87" s="445"/>
    </row>
    <row r="88" spans="1:6" ht="12.75">
      <c r="A88" s="445"/>
      <c r="B88" s="326" t="s">
        <v>975</v>
      </c>
      <c r="C88" s="442" t="s">
        <v>976</v>
      </c>
      <c r="D88" s="443"/>
      <c r="E88" s="450"/>
      <c r="F88" s="445"/>
    </row>
    <row r="89" spans="1:6" ht="12.75">
      <c r="A89" s="445"/>
      <c r="B89" s="140" t="s">
        <v>977</v>
      </c>
      <c r="C89" s="447" t="s">
        <v>978</v>
      </c>
      <c r="D89" s="448"/>
      <c r="E89" s="450"/>
      <c r="F89" s="445"/>
    </row>
    <row r="90" spans="1:6" ht="12.75">
      <c r="A90" s="445"/>
      <c r="B90" s="326" t="s">
        <v>979</v>
      </c>
      <c r="C90" s="442" t="s">
        <v>980</v>
      </c>
      <c r="D90" s="443"/>
      <c r="E90" s="450"/>
      <c r="F90" s="445"/>
    </row>
    <row r="91" spans="1:6" ht="12.75">
      <c r="A91" s="445"/>
      <c r="B91" s="140" t="s">
        <v>981</v>
      </c>
      <c r="C91" s="447" t="s">
        <v>982</v>
      </c>
      <c r="D91" s="448"/>
      <c r="E91" s="450"/>
      <c r="F91" s="445"/>
    </row>
    <row r="92" spans="1:6" ht="12.75">
      <c r="A92" s="445"/>
      <c r="B92" s="140" t="s">
        <v>983</v>
      </c>
      <c r="C92" s="447" t="s">
        <v>984</v>
      </c>
      <c r="D92" s="448"/>
      <c r="E92" s="450"/>
      <c r="F92" s="445"/>
    </row>
    <row r="93" spans="1:6" ht="12.75">
      <c r="A93" s="445"/>
      <c r="B93" s="140" t="s">
        <v>985</v>
      </c>
      <c r="C93" s="447" t="s">
        <v>986</v>
      </c>
      <c r="D93" s="448"/>
      <c r="E93" s="450"/>
      <c r="F93" s="445"/>
    </row>
    <row r="94" spans="1:6" ht="12.75">
      <c r="A94" s="445"/>
      <c r="B94" s="140" t="s">
        <v>987</v>
      </c>
      <c r="C94" s="447" t="s">
        <v>988</v>
      </c>
      <c r="D94" s="448"/>
      <c r="E94" s="450"/>
      <c r="F94" s="445"/>
    </row>
    <row r="95" spans="1:6" ht="12.75">
      <c r="A95" s="445"/>
      <c r="B95" s="326" t="s">
        <v>989</v>
      </c>
      <c r="C95" s="442" t="s">
        <v>990</v>
      </c>
      <c r="D95" s="443"/>
      <c r="E95" s="450"/>
      <c r="F95" s="445"/>
    </row>
    <row r="96" spans="1:6" ht="12.75">
      <c r="A96" s="445"/>
      <c r="B96" s="140" t="s">
        <v>991</v>
      </c>
      <c r="C96" s="447" t="s">
        <v>992</v>
      </c>
      <c r="D96" s="448"/>
      <c r="E96" s="450"/>
      <c r="F96" s="445"/>
    </row>
    <row r="97" spans="1:6" ht="12.75">
      <c r="A97" s="445"/>
      <c r="B97" s="140" t="s">
        <v>993</v>
      </c>
      <c r="C97" s="447" t="s">
        <v>994</v>
      </c>
      <c r="D97" s="448"/>
      <c r="E97" s="450"/>
      <c r="F97" s="445"/>
    </row>
    <row r="98" spans="1:6" ht="12.75">
      <c r="A98" s="445"/>
      <c r="B98" s="140" t="s">
        <v>995</v>
      </c>
      <c r="C98" s="447" t="s">
        <v>996</v>
      </c>
      <c r="D98" s="448"/>
      <c r="E98" s="450"/>
      <c r="F98" s="445"/>
    </row>
    <row r="99" spans="1:6" ht="12.75">
      <c r="A99" s="445"/>
      <c r="B99" s="140" t="s">
        <v>997</v>
      </c>
      <c r="C99" s="447" t="s">
        <v>998</v>
      </c>
      <c r="D99" s="448"/>
      <c r="E99" s="450"/>
      <c r="F99" s="445"/>
    </row>
    <row r="100" spans="1:6" ht="12.75">
      <c r="A100" s="445"/>
      <c r="B100" s="140" t="s">
        <v>999</v>
      </c>
      <c r="C100" s="447" t="s">
        <v>1000</v>
      </c>
      <c r="D100" s="448"/>
      <c r="E100" s="450"/>
      <c r="F100" s="445"/>
    </row>
    <row r="101" spans="1:6" ht="12.75">
      <c r="A101" s="445"/>
      <c r="B101" s="140" t="s">
        <v>1001</v>
      </c>
      <c r="C101" s="447" t="s">
        <v>1002</v>
      </c>
      <c r="D101" s="448"/>
      <c r="E101" s="450"/>
      <c r="F101" s="445"/>
    </row>
    <row r="102" spans="1:6" ht="12.75">
      <c r="A102" s="445"/>
      <c r="B102" s="140" t="s">
        <v>1003</v>
      </c>
      <c r="C102" s="447" t="s">
        <v>1004</v>
      </c>
      <c r="D102" s="448"/>
      <c r="E102" s="450"/>
      <c r="F102" s="445"/>
    </row>
    <row r="103" spans="1:6" ht="12.75">
      <c r="A103" s="445"/>
      <c r="B103" s="140" t="s">
        <v>1005</v>
      </c>
      <c r="C103" s="447" t="s">
        <v>1006</v>
      </c>
      <c r="D103" s="448"/>
      <c r="E103" s="450"/>
      <c r="F103" s="445"/>
    </row>
    <row r="104" spans="1:6" ht="12.75">
      <c r="A104" s="445"/>
      <c r="B104" s="140" t="s">
        <v>1007</v>
      </c>
      <c r="C104" s="447" t="s">
        <v>1008</v>
      </c>
      <c r="D104" s="448"/>
      <c r="E104" s="450"/>
      <c r="F104" s="445"/>
    </row>
    <row r="105" spans="1:6" ht="12.75">
      <c r="A105" s="446"/>
      <c r="B105" s="140" t="s">
        <v>1009</v>
      </c>
      <c r="C105" s="447" t="s">
        <v>1010</v>
      </c>
      <c r="D105" s="448"/>
      <c r="E105" s="451"/>
      <c r="F105" s="446"/>
    </row>
    <row r="106" spans="1:6" ht="12.75">
      <c r="A106" s="452" t="s">
        <v>1011</v>
      </c>
      <c r="B106" s="140" t="s">
        <v>1012</v>
      </c>
      <c r="C106" s="447" t="s">
        <v>1013</v>
      </c>
      <c r="D106" s="448"/>
      <c r="E106" s="449">
        <f>528*Главная!$B$135</f>
        <v>14889.6</v>
      </c>
      <c r="F106" s="444">
        <f>188.79*Главная!$B$135</f>
        <v>5323.878</v>
      </c>
    </row>
    <row r="107" spans="1:6" ht="12.75">
      <c r="A107" s="452"/>
      <c r="B107" s="326" t="s">
        <v>1014</v>
      </c>
      <c r="C107" s="442" t="s">
        <v>1015</v>
      </c>
      <c r="D107" s="443"/>
      <c r="E107" s="450"/>
      <c r="F107" s="445"/>
    </row>
    <row r="108" spans="1:6" ht="12.75">
      <c r="A108" s="452"/>
      <c r="B108" s="140" t="s">
        <v>1016</v>
      </c>
      <c r="C108" s="447" t="s">
        <v>1017</v>
      </c>
      <c r="D108" s="448"/>
      <c r="E108" s="450"/>
      <c r="F108" s="445"/>
    </row>
    <row r="109" spans="1:6" ht="12.75">
      <c r="A109" s="452"/>
      <c r="B109" s="326" t="s">
        <v>1018</v>
      </c>
      <c r="C109" s="442" t="s">
        <v>1019</v>
      </c>
      <c r="D109" s="443"/>
      <c r="E109" s="451"/>
      <c r="F109" s="446"/>
    </row>
    <row r="110" spans="1:6" ht="12.75">
      <c r="A110" s="140" t="s">
        <v>1020</v>
      </c>
      <c r="B110" s="140" t="s">
        <v>1021</v>
      </c>
      <c r="C110" s="458" t="s">
        <v>1022</v>
      </c>
      <c r="D110" s="458"/>
      <c r="E110" s="327">
        <f>566*Главная!$B$135</f>
        <v>15961.199999999999</v>
      </c>
      <c r="F110" s="330">
        <f>202.37*Главная!$B$135</f>
        <v>5706.834</v>
      </c>
    </row>
    <row r="112" ht="13.5">
      <c r="A112" s="333" t="s">
        <v>1023</v>
      </c>
    </row>
    <row r="113" spans="1:4" ht="13.5">
      <c r="A113" s="333" t="s">
        <v>1024</v>
      </c>
      <c r="B113" s="333"/>
      <c r="C113" s="333"/>
      <c r="D113" s="333"/>
    </row>
    <row r="114" spans="1:4" ht="13.5">
      <c r="A114" s="333" t="s">
        <v>1025</v>
      </c>
      <c r="B114" s="333"/>
      <c r="C114" s="333"/>
      <c r="D114" s="333"/>
    </row>
    <row r="116" spans="1:7" ht="15">
      <c r="A116" s="459" t="s">
        <v>21</v>
      </c>
      <c r="B116" s="459"/>
      <c r="C116" s="459"/>
      <c r="D116" s="459"/>
      <c r="E116" s="459"/>
      <c r="F116" s="459"/>
      <c r="G116" s="459"/>
    </row>
    <row r="117" spans="1:7" ht="30.75">
      <c r="A117" s="38"/>
      <c r="B117" s="38"/>
      <c r="C117" s="38"/>
      <c r="D117" s="334" t="s">
        <v>1026</v>
      </c>
      <c r="E117" s="17"/>
      <c r="F117" s="17"/>
      <c r="G117" s="17"/>
    </row>
    <row r="118" spans="1:7" ht="13.5">
      <c r="A118" s="460" t="s">
        <v>1027</v>
      </c>
      <c r="B118" s="461"/>
      <c r="C118" s="462"/>
      <c r="D118" s="335">
        <f>8.5*Главная!$B$135</f>
        <v>239.7</v>
      </c>
      <c r="E118" s="18"/>
      <c r="F118" s="19"/>
      <c r="G118" s="20"/>
    </row>
    <row r="119" spans="1:7" ht="13.5">
      <c r="A119" s="463" t="s">
        <v>1028</v>
      </c>
      <c r="B119" s="464"/>
      <c r="C119" s="465"/>
      <c r="D119" s="336">
        <f>42*Главная!$B$135</f>
        <v>1184.3999999999999</v>
      </c>
      <c r="E119" s="18"/>
      <c r="F119" s="19"/>
      <c r="G119" s="20"/>
    </row>
    <row r="120" spans="1:7" ht="12.75">
      <c r="A120" s="466" t="s">
        <v>25</v>
      </c>
      <c r="B120" s="467"/>
      <c r="C120" s="468"/>
      <c r="D120" s="336">
        <f>1*Главная!$B$135</f>
        <v>28.2</v>
      </c>
      <c r="E120" s="18"/>
      <c r="F120" s="16"/>
      <c r="G120" s="16"/>
    </row>
  </sheetData>
  <sheetProtection/>
  <mergeCells count="138">
    <mergeCell ref="A118:C118"/>
    <mergeCell ref="A119:C119"/>
    <mergeCell ref="A120:C120"/>
    <mergeCell ref="E79:E105"/>
    <mergeCell ref="F79:F105"/>
    <mergeCell ref="A106:A109"/>
    <mergeCell ref="C106:D106"/>
    <mergeCell ref="E106:E109"/>
    <mergeCell ref="C102:D102"/>
    <mergeCell ref="C103:D103"/>
    <mergeCell ref="C104:D104"/>
    <mergeCell ref="C105:D105"/>
    <mergeCell ref="C110:D110"/>
    <mergeCell ref="A116:G116"/>
    <mergeCell ref="C96:D96"/>
    <mergeCell ref="C97:D97"/>
    <mergeCell ref="C98:D98"/>
    <mergeCell ref="C99:D99"/>
    <mergeCell ref="F106:F109"/>
    <mergeCell ref="C107:D107"/>
    <mergeCell ref="C108:D108"/>
    <mergeCell ref="C109:D10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F75:F78"/>
    <mergeCell ref="C76:D76"/>
    <mergeCell ref="C77:D77"/>
    <mergeCell ref="C78:D78"/>
    <mergeCell ref="A79:A105"/>
    <mergeCell ref="C79:D79"/>
    <mergeCell ref="C80:D80"/>
    <mergeCell ref="C81:D81"/>
    <mergeCell ref="C82:D82"/>
    <mergeCell ref="C83:D83"/>
    <mergeCell ref="C72:D72"/>
    <mergeCell ref="C73:D73"/>
    <mergeCell ref="C74:D74"/>
    <mergeCell ref="A75:A78"/>
    <mergeCell ref="C75:D75"/>
    <mergeCell ref="E75:E78"/>
    <mergeCell ref="C65:D65"/>
    <mergeCell ref="C66:D66"/>
    <mergeCell ref="A67:A74"/>
    <mergeCell ref="C67:D67"/>
    <mergeCell ref="E67:E74"/>
    <mergeCell ref="F67:F74"/>
    <mergeCell ref="C68:D68"/>
    <mergeCell ref="C69:D69"/>
    <mergeCell ref="C70:D70"/>
    <mergeCell ref="C71:D71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A34:A66"/>
    <mergeCell ref="C34:D34"/>
    <mergeCell ref="E34:E66"/>
    <mergeCell ref="F34:F66"/>
    <mergeCell ref="C35:D35"/>
    <mergeCell ref="C36:D36"/>
    <mergeCell ref="C37:D37"/>
    <mergeCell ref="C38:D38"/>
    <mergeCell ref="C39:D39"/>
    <mergeCell ref="C40:D40"/>
    <mergeCell ref="A28:A33"/>
    <mergeCell ref="C28:D28"/>
    <mergeCell ref="E28:E33"/>
    <mergeCell ref="F28:F33"/>
    <mergeCell ref="C29:D29"/>
    <mergeCell ref="C30:D30"/>
    <mergeCell ref="C31:D31"/>
    <mergeCell ref="C32:D32"/>
    <mergeCell ref="C33:D33"/>
    <mergeCell ref="A21:A27"/>
    <mergeCell ref="C21:D21"/>
    <mergeCell ref="E21:E27"/>
    <mergeCell ref="F21:F27"/>
    <mergeCell ref="C22:D22"/>
    <mergeCell ref="C23:D23"/>
    <mergeCell ref="C24:D24"/>
    <mergeCell ref="C25:D25"/>
    <mergeCell ref="C26:D26"/>
    <mergeCell ref="C27:D27"/>
    <mergeCell ref="C17:D17"/>
    <mergeCell ref="C18:D18"/>
    <mergeCell ref="A19:A20"/>
    <mergeCell ref="C19:D19"/>
    <mergeCell ref="E19:E20"/>
    <mergeCell ref="F19:F20"/>
    <mergeCell ref="C20:D20"/>
    <mergeCell ref="C11:D11"/>
    <mergeCell ref="C12:D12"/>
    <mergeCell ref="C13:D13"/>
    <mergeCell ref="C14:D14"/>
    <mergeCell ref="C15:D15"/>
    <mergeCell ref="C16:D16"/>
    <mergeCell ref="B4:C4"/>
    <mergeCell ref="E5:F5"/>
    <mergeCell ref="C6:D6"/>
    <mergeCell ref="C7:D7"/>
    <mergeCell ref="A8:A18"/>
    <mergeCell ref="C8:D8"/>
    <mergeCell ref="E8:E18"/>
    <mergeCell ref="F8:F18"/>
    <mergeCell ref="C9:D9"/>
    <mergeCell ref="C10:D10"/>
  </mergeCells>
  <printOptions/>
  <pageMargins left="0.7" right="0.7" top="1.09375" bottom="0.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P23" sqref="P23"/>
    </sheetView>
  </sheetViews>
  <sheetFormatPr defaultColWidth="9.00390625" defaultRowHeight="12.75"/>
  <cols>
    <col min="1" max="1" width="13.875" style="0" customWidth="1"/>
  </cols>
  <sheetData>
    <row r="1" spans="1:10" ht="23.25">
      <c r="A1" s="683"/>
      <c r="B1" s="683"/>
      <c r="C1" s="683"/>
      <c r="D1" s="683"/>
      <c r="E1" s="683"/>
      <c r="F1" s="683"/>
      <c r="G1" s="563"/>
      <c r="H1" s="563"/>
      <c r="I1" s="563"/>
      <c r="J1" s="563"/>
    </row>
    <row r="2" spans="1:10" ht="23.25">
      <c r="A2" s="75" t="s">
        <v>1103</v>
      </c>
      <c r="B2" s="75"/>
      <c r="C2" s="75"/>
      <c r="D2" s="75"/>
      <c r="E2" s="368"/>
      <c r="F2" s="368"/>
      <c r="G2" s="195"/>
      <c r="H2" s="195"/>
      <c r="I2" s="195"/>
      <c r="J2" s="195"/>
    </row>
    <row r="3" spans="1:10" ht="23.25" thickBot="1">
      <c r="A3" s="146"/>
      <c r="E3" s="194"/>
      <c r="F3" s="194"/>
      <c r="G3" s="195"/>
      <c r="H3" s="195"/>
      <c r="I3" s="195"/>
      <c r="J3" s="195"/>
    </row>
    <row r="4" spans="1:5" ht="13.5" thickBot="1">
      <c r="A4" s="359" t="s">
        <v>375</v>
      </c>
      <c r="B4" s="685" t="s">
        <v>375</v>
      </c>
      <c r="C4" s="686"/>
      <c r="D4" s="687" t="s">
        <v>1102</v>
      </c>
      <c r="E4" s="688"/>
    </row>
    <row r="5" spans="1:5" ht="12.75">
      <c r="A5" s="689" t="s">
        <v>1079</v>
      </c>
      <c r="B5" s="695" t="s">
        <v>1080</v>
      </c>
      <c r="C5" s="695"/>
      <c r="D5" s="696">
        <f>168.610464*Главная!$B$134</f>
        <v>5715.8947296</v>
      </c>
      <c r="E5" s="697"/>
    </row>
    <row r="6" spans="1:5" ht="12.75">
      <c r="A6" s="690"/>
      <c r="B6" s="681" t="s">
        <v>1081</v>
      </c>
      <c r="C6" s="681"/>
      <c r="D6" s="675">
        <f>168.610464*Главная!$B$134</f>
        <v>5715.8947296</v>
      </c>
      <c r="E6" s="676"/>
    </row>
    <row r="7" spans="1:5" ht="12.75">
      <c r="A7" s="690"/>
      <c r="B7" s="681" t="s">
        <v>1082</v>
      </c>
      <c r="C7" s="681"/>
      <c r="D7" s="675">
        <f>187.593648*Главная!$B$134</f>
        <v>6359.4246672</v>
      </c>
      <c r="E7" s="676"/>
    </row>
    <row r="8" spans="1:5" ht="17.25" customHeight="1" thickBot="1">
      <c r="A8" s="691"/>
      <c r="B8" s="684" t="s">
        <v>1083</v>
      </c>
      <c r="C8" s="684"/>
      <c r="D8" s="679">
        <f>187.593648*Главная!$B$134</f>
        <v>6359.4246672</v>
      </c>
      <c r="E8" s="680"/>
    </row>
    <row r="9" spans="1:5" ht="14.25" thickBot="1">
      <c r="A9" s="360"/>
      <c r="B9" s="361"/>
      <c r="D9" s="365"/>
      <c r="E9" s="369"/>
    </row>
    <row r="10" spans="1:5" ht="12.75">
      <c r="A10" s="692" t="s">
        <v>1084</v>
      </c>
      <c r="B10" s="682" t="s">
        <v>1085</v>
      </c>
      <c r="C10" s="682"/>
      <c r="D10" s="677">
        <f>187.593648*Главная!$B$134</f>
        <v>6359.4246672</v>
      </c>
      <c r="E10" s="678"/>
    </row>
    <row r="11" spans="1:5" ht="12.75">
      <c r="A11" s="693"/>
      <c r="B11" s="681" t="s">
        <v>1086</v>
      </c>
      <c r="C11" s="681"/>
      <c r="D11" s="675">
        <f>187.593648*Главная!$B$134</f>
        <v>6359.4246672</v>
      </c>
      <c r="E11" s="676"/>
    </row>
    <row r="12" spans="1:5" ht="12.75">
      <c r="A12" s="693"/>
      <c r="B12" s="681" t="s">
        <v>1087</v>
      </c>
      <c r="C12" s="681"/>
      <c r="D12" s="675">
        <f>187.593648*Главная!$B$134</f>
        <v>6359.4246672</v>
      </c>
      <c r="E12" s="676"/>
    </row>
    <row r="13" spans="1:5" ht="12.75">
      <c r="A13" s="693"/>
      <c r="B13" s="681" t="s">
        <v>1088</v>
      </c>
      <c r="C13" s="681"/>
      <c r="D13" s="675">
        <f>187.593648*Главная!$B$134</f>
        <v>6359.4246672</v>
      </c>
      <c r="E13" s="676"/>
    </row>
    <row r="14" spans="1:5" ht="13.5" thickBot="1">
      <c r="A14" s="694"/>
      <c r="B14" s="684" t="s">
        <v>1089</v>
      </c>
      <c r="C14" s="684"/>
      <c r="D14" s="679">
        <f>201.12642*Главная!$B$134</f>
        <v>6818.185638</v>
      </c>
      <c r="E14" s="680"/>
    </row>
    <row r="15" spans="1:5" ht="14.25" thickBot="1">
      <c r="A15" s="360"/>
      <c r="B15" s="363"/>
      <c r="D15" s="369"/>
      <c r="E15" s="369"/>
    </row>
    <row r="16" spans="1:5" ht="12.75">
      <c r="A16" s="692" t="s">
        <v>1090</v>
      </c>
      <c r="B16" s="682" t="s">
        <v>1091</v>
      </c>
      <c r="C16" s="682"/>
      <c r="D16" s="677">
        <f>131.970432*Главная!$B$134</f>
        <v>4473.797644799999</v>
      </c>
      <c r="E16" s="678"/>
    </row>
    <row r="17" spans="1:5" ht="12.75">
      <c r="A17" s="693"/>
      <c r="B17" s="681" t="s">
        <v>1092</v>
      </c>
      <c r="C17" s="681"/>
      <c r="D17" s="675">
        <f>104.697648*Главная!$B$134</f>
        <v>3549.2502672</v>
      </c>
      <c r="E17" s="676"/>
    </row>
    <row r="18" spans="1:5" ht="12.75">
      <c r="A18" s="693"/>
      <c r="B18" s="681" t="s">
        <v>1093</v>
      </c>
      <c r="C18" s="681"/>
      <c r="D18" s="675">
        <f>104.697648*Главная!$B$134</f>
        <v>3549.2502672</v>
      </c>
      <c r="E18" s="676"/>
    </row>
    <row r="19" spans="1:5" ht="12.75">
      <c r="A19" s="693"/>
      <c r="B19" s="681" t="s">
        <v>1094</v>
      </c>
      <c r="C19" s="681"/>
      <c r="D19" s="675">
        <f>131.970432*Главная!$B$134</f>
        <v>4473.797644799999</v>
      </c>
      <c r="E19" s="676"/>
    </row>
    <row r="20" spans="1:5" ht="13.5" thickBot="1">
      <c r="A20" s="694"/>
      <c r="B20" s="684" t="s">
        <v>1095</v>
      </c>
      <c r="C20" s="684"/>
      <c r="D20" s="679">
        <f>104.697648*Главная!$B$134</f>
        <v>3549.2502672</v>
      </c>
      <c r="E20" s="680"/>
    </row>
    <row r="21" spans="1:5" ht="14.25" thickBot="1">
      <c r="A21" s="360"/>
      <c r="D21" s="369"/>
      <c r="E21" s="369"/>
    </row>
    <row r="22" spans="1:5" ht="33" customHeight="1" thickBot="1">
      <c r="A22" s="700" t="s">
        <v>1096</v>
      </c>
      <c r="B22" s="684" t="s">
        <v>1104</v>
      </c>
      <c r="C22" s="684"/>
      <c r="D22" s="677">
        <f>168.58974*Главная!$B$134</f>
        <v>5715.192186</v>
      </c>
      <c r="E22" s="678"/>
    </row>
    <row r="23" spans="1:5" ht="37.5" customHeight="1" thickBot="1">
      <c r="A23" s="701"/>
      <c r="B23" s="684" t="s">
        <v>1097</v>
      </c>
      <c r="C23" s="684"/>
      <c r="D23" s="679">
        <f>168.58974*Главная!$B$134</f>
        <v>5715.192186</v>
      </c>
      <c r="E23" s="680"/>
    </row>
    <row r="24" spans="2:8" ht="12.75">
      <c r="B24" s="364"/>
      <c r="C24" s="362"/>
      <c r="E24" s="365"/>
      <c r="F24" s="365"/>
      <c r="G24" s="367"/>
      <c r="H24" s="367"/>
    </row>
    <row r="26" spans="2:4" ht="12.75">
      <c r="B26" s="702" t="s">
        <v>695</v>
      </c>
      <c r="C26" s="704" t="s">
        <v>1098</v>
      </c>
      <c r="D26" s="595"/>
    </row>
    <row r="27" spans="2:4" ht="12.75">
      <c r="B27" s="703"/>
      <c r="C27" s="704" t="s">
        <v>1099</v>
      </c>
      <c r="D27" s="595"/>
    </row>
    <row r="28" spans="2:5" ht="12.75">
      <c r="B28" s="366" t="s">
        <v>1100</v>
      </c>
      <c r="C28" s="698" t="s">
        <v>1101</v>
      </c>
      <c r="D28" s="699"/>
      <c r="E28" s="1"/>
    </row>
    <row r="29" spans="3:4" ht="12.75">
      <c r="C29" s="1"/>
      <c r="D29" s="1"/>
    </row>
  </sheetData>
  <sheetProtection/>
  <mergeCells count="44">
    <mergeCell ref="C28:D28"/>
    <mergeCell ref="A22:A23"/>
    <mergeCell ref="B22:C22"/>
    <mergeCell ref="D22:E22"/>
    <mergeCell ref="B23:C23"/>
    <mergeCell ref="D23:E23"/>
    <mergeCell ref="B26:B27"/>
    <mergeCell ref="C26:D26"/>
    <mergeCell ref="C27:D27"/>
    <mergeCell ref="A16:A20"/>
    <mergeCell ref="B16:C16"/>
    <mergeCell ref="D16:E16"/>
    <mergeCell ref="B19:C19"/>
    <mergeCell ref="D19:E19"/>
    <mergeCell ref="B20:C20"/>
    <mergeCell ref="D20:E20"/>
    <mergeCell ref="B17:C17"/>
    <mergeCell ref="B18:C18"/>
    <mergeCell ref="D18:E18"/>
    <mergeCell ref="G1:J1"/>
    <mergeCell ref="B4:C4"/>
    <mergeCell ref="D4:E4"/>
    <mergeCell ref="A5:A8"/>
    <mergeCell ref="A10:A14"/>
    <mergeCell ref="B14:C14"/>
    <mergeCell ref="D14:E14"/>
    <mergeCell ref="B5:C5"/>
    <mergeCell ref="D5:E5"/>
    <mergeCell ref="B12:C12"/>
    <mergeCell ref="A1:F1"/>
    <mergeCell ref="B6:C6"/>
    <mergeCell ref="D6:E6"/>
    <mergeCell ref="B7:C7"/>
    <mergeCell ref="D7:E7"/>
    <mergeCell ref="B8:C8"/>
    <mergeCell ref="D17:E17"/>
    <mergeCell ref="D10:E10"/>
    <mergeCell ref="D8:E8"/>
    <mergeCell ref="B11:C11"/>
    <mergeCell ref="D11:E11"/>
    <mergeCell ref="D12:E12"/>
    <mergeCell ref="B13:C13"/>
    <mergeCell ref="D13:E13"/>
    <mergeCell ref="B10:C10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15"/>
  <sheetViews>
    <sheetView view="pageLayout" workbookViewId="0" topLeftCell="A6">
      <selection activeCell="D13" sqref="D13"/>
    </sheetView>
  </sheetViews>
  <sheetFormatPr defaultColWidth="9.00390625" defaultRowHeight="12.75"/>
  <cols>
    <col min="1" max="1" width="9.625" style="0" customWidth="1"/>
    <col min="2" max="2" width="10.50390625" style="0" customWidth="1"/>
    <col min="3" max="3" width="17.375" style="0" customWidth="1"/>
    <col min="4" max="4" width="21.125" style="0" customWidth="1"/>
  </cols>
  <sheetData>
    <row r="3" spans="1:4" ht="22.5">
      <c r="A3" s="606" t="s">
        <v>589</v>
      </c>
      <c r="B3" s="606"/>
      <c r="C3" s="606"/>
      <c r="D3" s="606"/>
    </row>
    <row r="4" ht="15.75" customHeight="1"/>
    <row r="5" spans="1:7" ht="15">
      <c r="A5" s="709" t="s">
        <v>208</v>
      </c>
      <c r="B5" s="709"/>
      <c r="C5" s="709"/>
      <c r="D5" s="709"/>
      <c r="E5" s="709"/>
      <c r="F5" s="709"/>
      <c r="G5" s="709"/>
    </row>
    <row r="6" spans="1:4" ht="12.75">
      <c r="A6" s="607"/>
      <c r="B6" s="607"/>
      <c r="C6" s="607"/>
      <c r="D6" s="607"/>
    </row>
    <row r="7" spans="1:5" ht="12.75" customHeight="1">
      <c r="A7" s="80"/>
      <c r="B7" s="710" t="s">
        <v>590</v>
      </c>
      <c r="C7" s="710"/>
      <c r="D7" s="710"/>
      <c r="E7" s="710"/>
    </row>
    <row r="8" spans="1:4" ht="12.75">
      <c r="A8" s="84"/>
      <c r="B8" s="81"/>
      <c r="C8" s="81"/>
      <c r="D8" s="82"/>
    </row>
    <row r="10" spans="1:6" ht="25.5" customHeight="1">
      <c r="A10" s="706" t="s">
        <v>375</v>
      </c>
      <c r="B10" s="706"/>
      <c r="C10" s="318" t="s">
        <v>213</v>
      </c>
      <c r="D10" s="320" t="s">
        <v>212</v>
      </c>
      <c r="E10" s="708"/>
      <c r="F10" s="708"/>
    </row>
    <row r="11" spans="1:6" ht="17.25" customHeight="1">
      <c r="A11" s="707"/>
      <c r="B11" s="707"/>
      <c r="C11" s="318"/>
      <c r="D11" s="320" t="s">
        <v>591</v>
      </c>
      <c r="E11" s="708"/>
      <c r="F11" s="708"/>
    </row>
    <row r="12" spans="1:6" ht="22.5" customHeight="1">
      <c r="A12" s="711" t="s">
        <v>592</v>
      </c>
      <c r="B12" s="712"/>
      <c r="C12" s="319" t="s">
        <v>63</v>
      </c>
      <c r="D12" s="212">
        <f>30.97*Главная!B134</f>
        <v>1049.8829999999998</v>
      </c>
      <c r="E12" s="705"/>
      <c r="F12" s="705"/>
    </row>
    <row r="13" spans="1:4" ht="25.5" customHeight="1">
      <c r="A13" s="89"/>
      <c r="B13" s="90"/>
      <c r="C13" s="90"/>
      <c r="D13" s="90"/>
    </row>
    <row r="14" spans="1:4" ht="16.5" customHeight="1">
      <c r="A14" s="89" t="s">
        <v>587</v>
      </c>
      <c r="C14" s="90" t="s">
        <v>593</v>
      </c>
      <c r="D14" s="90"/>
    </row>
    <row r="15" spans="1:4" ht="16.5" customHeight="1">
      <c r="A15" s="89" t="s">
        <v>594</v>
      </c>
      <c r="B15" s="90"/>
      <c r="C15" s="90"/>
      <c r="D15" s="90"/>
    </row>
    <row r="16" ht="18" customHeight="1"/>
  </sheetData>
  <sheetProtection/>
  <mergeCells count="9">
    <mergeCell ref="E12:F12"/>
    <mergeCell ref="A10:B11"/>
    <mergeCell ref="E10:F10"/>
    <mergeCell ref="E11:F11"/>
    <mergeCell ref="A3:D3"/>
    <mergeCell ref="A5:G5"/>
    <mergeCell ref="A6:D6"/>
    <mergeCell ref="B7:E7"/>
    <mergeCell ref="A12:B12"/>
  </mergeCells>
  <printOptions/>
  <pageMargins left="0.75" right="0.75" top="1" bottom="1" header="0.5" footer="0.5"/>
  <pageSetup horizontalDpi="600" verticalDpi="600" orientation="portrait" paperSize="9" r:id="rId3"/>
  <headerFooter alignWithMargins="0">
    <oddHeader>&amp;C&amp;G</oddHead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F42"/>
  <sheetViews>
    <sheetView view="pageLayout" zoomScaleSheetLayoutView="100" workbookViewId="0" topLeftCell="A24">
      <selection activeCell="A24" sqref="A1:A16384"/>
    </sheetView>
  </sheetViews>
  <sheetFormatPr defaultColWidth="8.625" defaultRowHeight="12.75"/>
  <cols>
    <col min="1" max="1" width="16.625" style="145" customWidth="1"/>
    <col min="2" max="2" width="32.125" style="145" customWidth="1"/>
    <col min="3" max="3" width="26.875" style="145" customWidth="1"/>
    <col min="4" max="4" width="15.50390625" style="144" customWidth="1"/>
    <col min="5" max="16384" width="8.625" style="37" customWidth="1"/>
  </cols>
  <sheetData>
    <row r="1" spans="1:5" ht="12.75" customHeight="1">
      <c r="A1" s="716" t="s">
        <v>1105</v>
      </c>
      <c r="B1" s="716"/>
      <c r="C1" s="716"/>
      <c r="D1" s="716"/>
      <c r="E1" s="22"/>
    </row>
    <row r="2" spans="1:4" ht="12.75">
      <c r="A2" s="392" t="s">
        <v>134</v>
      </c>
      <c r="B2" s="392" t="s">
        <v>135</v>
      </c>
      <c r="C2" s="376" t="s">
        <v>136</v>
      </c>
      <c r="D2" s="376" t="s">
        <v>137</v>
      </c>
    </row>
    <row r="3" spans="1:6" s="379" customFormat="1" ht="36.75" customHeight="1">
      <c r="A3" s="393" t="s">
        <v>138</v>
      </c>
      <c r="B3" s="393" t="s">
        <v>1106</v>
      </c>
      <c r="C3" s="377" t="s">
        <v>259</v>
      </c>
      <c r="D3" s="718" t="s">
        <v>139</v>
      </c>
      <c r="E3" s="378"/>
      <c r="F3" s="378"/>
    </row>
    <row r="4" spans="1:6" s="379" customFormat="1" ht="72.75" customHeight="1">
      <c r="A4" s="393" t="s">
        <v>138</v>
      </c>
      <c r="B4" s="393" t="s">
        <v>1131</v>
      </c>
      <c r="C4" s="377" t="s">
        <v>259</v>
      </c>
      <c r="D4" s="718"/>
      <c r="E4" s="378"/>
      <c r="F4" s="378"/>
    </row>
    <row r="5" spans="1:6" s="379" customFormat="1" ht="15" customHeight="1">
      <c r="A5" s="717" t="s">
        <v>138</v>
      </c>
      <c r="B5" s="717" t="s">
        <v>1132</v>
      </c>
      <c r="C5" s="377" t="s">
        <v>259</v>
      </c>
      <c r="D5" s="381" t="s">
        <v>139</v>
      </c>
      <c r="E5" s="378"/>
      <c r="F5" s="380"/>
    </row>
    <row r="6" spans="1:6" s="379" customFormat="1" ht="15" customHeight="1">
      <c r="A6" s="717"/>
      <c r="B6" s="717"/>
      <c r="C6" s="377" t="s">
        <v>258</v>
      </c>
      <c r="D6" s="381" t="s">
        <v>139</v>
      </c>
      <c r="E6" s="378"/>
      <c r="F6" s="378"/>
    </row>
    <row r="7" spans="1:6" s="379" customFormat="1" ht="12.75" customHeight="1">
      <c r="A7" s="393" t="s">
        <v>140</v>
      </c>
      <c r="B7" s="393" t="s">
        <v>1107</v>
      </c>
      <c r="C7" s="377" t="s">
        <v>198</v>
      </c>
      <c r="D7" s="381" t="s">
        <v>139</v>
      </c>
      <c r="E7" s="378"/>
      <c r="F7" s="378"/>
    </row>
    <row r="8" spans="1:6" s="379" customFormat="1" ht="20.25" customHeight="1">
      <c r="A8" s="393" t="s">
        <v>1108</v>
      </c>
      <c r="B8" s="393" t="s">
        <v>365</v>
      </c>
      <c r="C8" s="377" t="s">
        <v>281</v>
      </c>
      <c r="D8" s="381" t="s">
        <v>139</v>
      </c>
      <c r="E8" s="378"/>
      <c r="F8" s="378"/>
    </row>
    <row r="9" spans="1:6" s="379" customFormat="1" ht="26.25" customHeight="1">
      <c r="A9" s="393" t="s">
        <v>1108</v>
      </c>
      <c r="B9" s="393" t="s">
        <v>1143</v>
      </c>
      <c r="C9" s="377" t="s">
        <v>281</v>
      </c>
      <c r="D9" s="381" t="s">
        <v>139</v>
      </c>
      <c r="E9" s="378"/>
      <c r="F9" s="378"/>
    </row>
    <row r="10" spans="1:6" s="379" customFormat="1" ht="13.5" customHeight="1">
      <c r="A10" s="393" t="s">
        <v>260</v>
      </c>
      <c r="B10" s="393" t="s">
        <v>1109</v>
      </c>
      <c r="C10" s="377" t="s">
        <v>261</v>
      </c>
      <c r="D10" s="381" t="s">
        <v>139</v>
      </c>
      <c r="E10" s="378"/>
      <c r="F10" s="378"/>
    </row>
    <row r="11" spans="1:6" s="379" customFormat="1" ht="12.75" customHeight="1">
      <c r="A11" s="393" t="s">
        <v>141</v>
      </c>
      <c r="B11" s="393" t="s">
        <v>142</v>
      </c>
      <c r="C11" s="377" t="s">
        <v>199</v>
      </c>
      <c r="D11" s="382" t="s">
        <v>139</v>
      </c>
      <c r="E11" s="378"/>
      <c r="F11" s="378"/>
    </row>
    <row r="12" spans="1:6" s="379" customFormat="1" ht="12.75">
      <c r="A12" s="393" t="s">
        <v>143</v>
      </c>
      <c r="B12" s="393" t="s">
        <v>1110</v>
      </c>
      <c r="C12" s="377" t="s">
        <v>282</v>
      </c>
      <c r="D12" s="381" t="s">
        <v>139</v>
      </c>
      <c r="E12" s="378"/>
      <c r="F12" s="378"/>
    </row>
    <row r="13" spans="1:6" s="379" customFormat="1" ht="12.75">
      <c r="A13" s="393" t="s">
        <v>367</v>
      </c>
      <c r="B13" s="393" t="s">
        <v>144</v>
      </c>
      <c r="C13" s="377" t="s">
        <v>283</v>
      </c>
      <c r="D13" s="381" t="s">
        <v>139</v>
      </c>
      <c r="E13" s="378"/>
      <c r="F13" s="378"/>
    </row>
    <row r="14" spans="1:6" s="379" customFormat="1" ht="12.75">
      <c r="A14" s="393" t="s">
        <v>192</v>
      </c>
      <c r="B14" s="393" t="s">
        <v>1111</v>
      </c>
      <c r="C14" s="377" t="s">
        <v>262</v>
      </c>
      <c r="D14" s="381" t="s">
        <v>139</v>
      </c>
      <c r="E14" s="378"/>
      <c r="F14" s="378"/>
    </row>
    <row r="15" spans="1:6" s="379" customFormat="1" ht="12.75" customHeight="1">
      <c r="A15" s="393" t="s">
        <v>145</v>
      </c>
      <c r="B15" s="393" t="s">
        <v>205</v>
      </c>
      <c r="C15" s="377" t="s">
        <v>263</v>
      </c>
      <c r="D15" s="381" t="s">
        <v>139</v>
      </c>
      <c r="E15" s="378"/>
      <c r="F15" s="378"/>
    </row>
    <row r="16" spans="1:6" s="379" customFormat="1" ht="12.75">
      <c r="A16" s="393" t="s">
        <v>1133</v>
      </c>
      <c r="B16" s="393" t="s">
        <v>1112</v>
      </c>
      <c r="C16" s="377" t="s">
        <v>284</v>
      </c>
      <c r="D16" s="381" t="s">
        <v>139</v>
      </c>
      <c r="E16" s="378"/>
      <c r="F16" s="378"/>
    </row>
    <row r="17" spans="1:6" s="379" customFormat="1" ht="12.75">
      <c r="A17" s="394" t="s">
        <v>1134</v>
      </c>
      <c r="B17" s="394" t="s">
        <v>1135</v>
      </c>
      <c r="C17" s="377" t="s">
        <v>284</v>
      </c>
      <c r="D17" s="381" t="s">
        <v>139</v>
      </c>
      <c r="E17" s="378"/>
      <c r="F17" s="378"/>
    </row>
    <row r="18" spans="1:6" s="379" customFormat="1" ht="12.75">
      <c r="A18" s="393" t="s">
        <v>1144</v>
      </c>
      <c r="B18" s="393" t="s">
        <v>285</v>
      </c>
      <c r="C18" s="719" t="s">
        <v>286</v>
      </c>
      <c r="D18" s="381" t="s">
        <v>139</v>
      </c>
      <c r="E18" s="378"/>
      <c r="F18" s="378"/>
    </row>
    <row r="19" spans="1:6" s="379" customFormat="1" ht="12.75">
      <c r="A19" s="394" t="s">
        <v>1136</v>
      </c>
      <c r="B19" s="394" t="s">
        <v>1137</v>
      </c>
      <c r="C19" s="720"/>
      <c r="D19" s="381" t="s">
        <v>139</v>
      </c>
      <c r="E19" s="378"/>
      <c r="F19" s="378"/>
    </row>
    <row r="20" spans="1:6" s="379" customFormat="1" ht="12.75">
      <c r="A20" s="393" t="s">
        <v>1145</v>
      </c>
      <c r="B20" s="393" t="s">
        <v>1146</v>
      </c>
      <c r="C20" s="391" t="s">
        <v>287</v>
      </c>
      <c r="D20" s="381" t="s">
        <v>139</v>
      </c>
      <c r="E20" s="378"/>
      <c r="F20" s="378"/>
    </row>
    <row r="21" spans="1:6" s="379" customFormat="1" ht="12.75">
      <c r="A21" s="393" t="s">
        <v>146</v>
      </c>
      <c r="B21" s="393" t="s">
        <v>147</v>
      </c>
      <c r="C21" s="377" t="s">
        <v>200</v>
      </c>
      <c r="D21" s="381" t="s">
        <v>139</v>
      </c>
      <c r="E21" s="378"/>
      <c r="F21" s="378"/>
    </row>
    <row r="22" spans="1:6" s="379" customFormat="1" ht="12.75">
      <c r="A22" s="393" t="s">
        <v>148</v>
      </c>
      <c r="B22" s="393" t="s">
        <v>149</v>
      </c>
      <c r="C22" s="377" t="s">
        <v>201</v>
      </c>
      <c r="D22" s="381" t="s">
        <v>139</v>
      </c>
      <c r="E22" s="378"/>
      <c r="F22" s="378"/>
    </row>
    <row r="23" spans="1:6" s="379" customFormat="1" ht="15.75" customHeight="1">
      <c r="A23" s="395" t="s">
        <v>193</v>
      </c>
      <c r="B23" s="395" t="s">
        <v>194</v>
      </c>
      <c r="C23" s="377" t="s">
        <v>264</v>
      </c>
      <c r="D23" s="381" t="s">
        <v>139</v>
      </c>
      <c r="E23" s="378"/>
      <c r="F23" s="378"/>
    </row>
    <row r="24" spans="1:6" s="379" customFormat="1" ht="15" customHeight="1">
      <c r="A24" s="396" t="s">
        <v>1138</v>
      </c>
      <c r="B24" s="396" t="s">
        <v>204</v>
      </c>
      <c r="C24" s="713" t="s">
        <v>368</v>
      </c>
      <c r="D24" s="381" t="s">
        <v>139</v>
      </c>
      <c r="E24" s="378"/>
      <c r="F24" s="378"/>
    </row>
    <row r="25" spans="1:6" s="379" customFormat="1" ht="12.75">
      <c r="A25" s="397" t="s">
        <v>1139</v>
      </c>
      <c r="B25" s="397" t="s">
        <v>1140</v>
      </c>
      <c r="C25" s="714"/>
      <c r="D25" s="381" t="s">
        <v>139</v>
      </c>
      <c r="E25" s="378"/>
      <c r="F25" s="378"/>
    </row>
    <row r="26" spans="1:6" s="379" customFormat="1" ht="12.75">
      <c r="A26" s="393" t="s">
        <v>150</v>
      </c>
      <c r="B26" s="393" t="s">
        <v>206</v>
      </c>
      <c r="C26" s="377" t="s">
        <v>265</v>
      </c>
      <c r="D26" s="381" t="s">
        <v>139</v>
      </c>
      <c r="E26" s="378"/>
      <c r="F26" s="378"/>
    </row>
    <row r="27" spans="1:6" s="379" customFormat="1" ht="12.75" customHeight="1">
      <c r="A27" s="393" t="s">
        <v>151</v>
      </c>
      <c r="B27" s="393" t="s">
        <v>1113</v>
      </c>
      <c r="C27" s="377" t="s">
        <v>202</v>
      </c>
      <c r="D27" s="381" t="s">
        <v>139</v>
      </c>
      <c r="E27" s="378"/>
      <c r="F27" s="378"/>
    </row>
    <row r="28" spans="1:6" s="379" customFormat="1" ht="12.75" customHeight="1">
      <c r="A28" s="393" t="s">
        <v>152</v>
      </c>
      <c r="B28" s="393" t="s">
        <v>366</v>
      </c>
      <c r="C28" s="377" t="s">
        <v>203</v>
      </c>
      <c r="D28" s="381" t="s">
        <v>139</v>
      </c>
      <c r="E28" s="378"/>
      <c r="F28" s="378"/>
    </row>
    <row r="29" spans="1:6" s="379" customFormat="1" ht="12.75">
      <c r="A29" s="398" t="s">
        <v>195</v>
      </c>
      <c r="B29" s="399" t="s">
        <v>288</v>
      </c>
      <c r="C29" s="383" t="s">
        <v>289</v>
      </c>
      <c r="D29" s="381" t="s">
        <v>139</v>
      </c>
      <c r="F29" s="378"/>
    </row>
    <row r="30" spans="1:4" s="379" customFormat="1" ht="12.75">
      <c r="A30" s="399" t="s">
        <v>341</v>
      </c>
      <c r="B30" s="399" t="s">
        <v>1114</v>
      </c>
      <c r="C30" s="383" t="s">
        <v>290</v>
      </c>
      <c r="D30" s="381" t="s">
        <v>139</v>
      </c>
    </row>
    <row r="31" spans="1:4" s="379" customFormat="1" ht="12.75">
      <c r="A31" s="400" t="s">
        <v>342</v>
      </c>
      <c r="B31" s="400" t="s">
        <v>1115</v>
      </c>
      <c r="C31" s="384" t="s">
        <v>343</v>
      </c>
      <c r="D31" s="381" t="s">
        <v>139</v>
      </c>
    </row>
    <row r="32" spans="1:4" s="379" customFormat="1" ht="12.75">
      <c r="A32" s="715" t="s">
        <v>266</v>
      </c>
      <c r="B32" s="715"/>
      <c r="C32" s="715"/>
      <c r="D32" s="715"/>
    </row>
    <row r="33" spans="1:4" s="379" customFormat="1" ht="12.75">
      <c r="A33" s="401" t="s">
        <v>267</v>
      </c>
      <c r="B33" s="401" t="s">
        <v>1141</v>
      </c>
      <c r="C33" s="385" t="s">
        <v>1116</v>
      </c>
      <c r="D33" s="381" t="s">
        <v>139</v>
      </c>
    </row>
    <row r="34" spans="1:4" s="379" customFormat="1" ht="12.75">
      <c r="A34" s="401" t="s">
        <v>291</v>
      </c>
      <c r="B34" s="401" t="s">
        <v>268</v>
      </c>
      <c r="C34" s="385" t="s">
        <v>1117</v>
      </c>
      <c r="D34" s="381" t="s">
        <v>139</v>
      </c>
    </row>
    <row r="35" spans="1:4" s="379" customFormat="1" ht="12.75">
      <c r="A35" s="401" t="s">
        <v>292</v>
      </c>
      <c r="B35" s="401" t="s">
        <v>293</v>
      </c>
      <c r="C35" s="385" t="s">
        <v>1118</v>
      </c>
      <c r="D35" s="381" t="s">
        <v>139</v>
      </c>
    </row>
    <row r="36" spans="1:4" s="379" customFormat="1" ht="12.75">
      <c r="A36" s="715" t="s">
        <v>269</v>
      </c>
      <c r="B36" s="715"/>
      <c r="C36" s="715"/>
      <c r="D36" s="715"/>
    </row>
    <row r="37" spans="1:4" s="379" customFormat="1" ht="12.75">
      <c r="A37" s="401" t="s">
        <v>270</v>
      </c>
      <c r="B37" s="401" t="s">
        <v>294</v>
      </c>
      <c r="C37" s="385" t="s">
        <v>1119</v>
      </c>
      <c r="D37" s="381" t="s">
        <v>139</v>
      </c>
    </row>
    <row r="38" spans="1:4" s="379" customFormat="1" ht="12.75">
      <c r="A38" s="401" t="s">
        <v>271</v>
      </c>
      <c r="B38" s="401" t="s">
        <v>272</v>
      </c>
      <c r="C38" s="385" t="s">
        <v>1120</v>
      </c>
      <c r="D38" s="381" t="s">
        <v>139</v>
      </c>
    </row>
    <row r="39" spans="1:4" s="379" customFormat="1" ht="12.75">
      <c r="A39" s="401" t="s">
        <v>1121</v>
      </c>
      <c r="B39" s="401" t="s">
        <v>1122</v>
      </c>
      <c r="C39" s="385" t="s">
        <v>1123</v>
      </c>
      <c r="D39" s="381" t="s">
        <v>139</v>
      </c>
    </row>
    <row r="40" spans="1:4" s="379" customFormat="1" ht="20.25" customHeight="1">
      <c r="A40" s="401" t="s">
        <v>1124</v>
      </c>
      <c r="B40" s="401" t="s">
        <v>1125</v>
      </c>
      <c r="C40" s="385" t="s">
        <v>1126</v>
      </c>
      <c r="D40" s="381" t="s">
        <v>139</v>
      </c>
    </row>
    <row r="41" spans="1:4" ht="12.75">
      <c r="A41" s="715" t="s">
        <v>1127</v>
      </c>
      <c r="B41" s="715"/>
      <c r="C41" s="715"/>
      <c r="D41" s="715"/>
    </row>
    <row r="42" spans="1:4" ht="39">
      <c r="A42" s="401" t="s">
        <v>1128</v>
      </c>
      <c r="B42" s="401" t="s">
        <v>1129</v>
      </c>
      <c r="C42" s="377" t="s">
        <v>1130</v>
      </c>
      <c r="D42" s="381"/>
    </row>
  </sheetData>
  <sheetProtection selectLockedCells="1" selectUnlockedCells="1"/>
  <mergeCells count="9">
    <mergeCell ref="C24:C25"/>
    <mergeCell ref="A32:D32"/>
    <mergeCell ref="A36:D36"/>
    <mergeCell ref="A41:D41"/>
    <mergeCell ref="A1:D1"/>
    <mergeCell ref="A5:A6"/>
    <mergeCell ref="B5:B6"/>
    <mergeCell ref="D3:D4"/>
    <mergeCell ref="C18:C19"/>
  </mergeCells>
  <hyperlinks>
    <hyperlink ref="D3:D4" r:id="rId1" display="Мапа проїзду"/>
    <hyperlink ref="D7" r:id="rId2" display="Мапа проїзду"/>
    <hyperlink ref="D5" r:id="rId3" display="Мапа проїзду"/>
    <hyperlink ref="D8" r:id="rId4" display="Мапа проїзду"/>
    <hyperlink ref="D14" r:id="rId5" display="Мапа проїзду"/>
    <hyperlink ref="D18" r:id="rId6" display="Мапа проїзду"/>
    <hyperlink ref="D16" r:id="rId7" display="Мапа проїзду"/>
    <hyperlink ref="D15" r:id="rId8" display="Мапа проїзду"/>
    <hyperlink ref="D20" r:id="rId9" display="Карта проезда"/>
    <hyperlink ref="D21" r:id="rId10" display="Мапа проїзду"/>
    <hyperlink ref="D22" r:id="rId11" display="Мапа проїзду"/>
    <hyperlink ref="D23" r:id="rId12" display="Мапа проїзду"/>
    <hyperlink ref="D24" r:id="rId13" display="Мапа проїзду"/>
    <hyperlink ref="D26" r:id="rId14" display="Мапа проїзду"/>
    <hyperlink ref="D27" r:id="rId15" display="Мапа проїзду"/>
    <hyperlink ref="D28" r:id="rId16" display="Мапа проїзду"/>
    <hyperlink ref="D29" r:id="rId17" display="Мапа проїзду"/>
    <hyperlink ref="D30" r:id="rId18" display="Мапа проїзду"/>
    <hyperlink ref="D31" r:id="rId19" display="Мапа проїзду"/>
    <hyperlink ref="D12" r:id="rId20" display="Мапа проїзду"/>
    <hyperlink ref="D11" r:id="rId21" display="Карта проезда"/>
    <hyperlink ref="D13" r:id="rId22" display="Мапа проїзду"/>
    <hyperlink ref="D10" r:id="rId23" display="Мапа проїзду"/>
    <hyperlink ref="D9" r:id="rId24" display="Мапа проїзду"/>
    <hyperlink ref="D6" r:id="rId25" display="Мапа проїзду"/>
    <hyperlink ref="D17" r:id="rId26" display="Мапа проїзду"/>
    <hyperlink ref="D19" r:id="rId27" display="Мапа проїзду"/>
    <hyperlink ref="D25" r:id="rId28" display="Мапа проїзду"/>
    <hyperlink ref="D33" r:id="rId29" display="Мапа проїзду"/>
    <hyperlink ref="D37" r:id="rId30" display="Мапа проїзду"/>
    <hyperlink ref="D40" r:id="rId31" display="Мапа проїзду"/>
    <hyperlink ref="D39" r:id="rId32" display="Мапа проїзду"/>
    <hyperlink ref="D38" r:id="rId33" display="Мапа проїзду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36"/>
  <headerFooter alignWithMargins="0">
    <oddHeader>&amp;C&amp;G</oddHeader>
  </headerFooter>
  <colBreaks count="1" manualBreakCount="1">
    <brk id="4" max="65535" man="1"/>
  </colBreaks>
  <drawing r:id="rId34"/>
  <legacyDrawingHF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6"/>
  <sheetViews>
    <sheetView view="pageBreakPreview" zoomScaleSheetLayoutView="100" zoomScalePageLayoutView="0" workbookViewId="0" topLeftCell="A1">
      <pane xSplit="2" ySplit="1" topLeftCell="C12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J6" sqref="J6"/>
    </sheetView>
  </sheetViews>
  <sheetFormatPr defaultColWidth="9.00390625" defaultRowHeight="12.75"/>
  <cols>
    <col min="1" max="1" width="12.50390625" style="0" customWidth="1"/>
    <col min="2" max="2" width="11.625" style="0" customWidth="1"/>
    <col min="3" max="3" width="12.125" style="0" customWidth="1"/>
    <col min="4" max="4" width="14.375" style="0" customWidth="1"/>
    <col min="5" max="5" width="10.875" style="0" customWidth="1"/>
    <col min="6" max="7" width="11.625" style="0" customWidth="1"/>
    <col min="8" max="8" width="27.50390625" style="0" customWidth="1"/>
  </cols>
  <sheetData>
    <row r="1" spans="1:8" s="11" customFormat="1" ht="31.5" customHeight="1">
      <c r="A1" s="470">
        <f>Главная!B2</f>
        <v>0</v>
      </c>
      <c r="B1" s="470"/>
      <c r="C1" s="10"/>
      <c r="D1" s="10"/>
      <c r="E1" s="471" t="s">
        <v>180</v>
      </c>
      <c r="F1" s="471"/>
      <c r="G1" s="471"/>
      <c r="H1" s="36"/>
    </row>
    <row r="2" spans="1:8" s="11" customFormat="1" ht="16.5" customHeight="1">
      <c r="A2" s="474" t="s">
        <v>694</v>
      </c>
      <c r="B2" s="474"/>
      <c r="C2" s="474"/>
      <c r="D2" s="474"/>
      <c r="E2" s="474"/>
      <c r="F2" s="474"/>
      <c r="G2" s="474"/>
      <c r="H2" s="36"/>
    </row>
    <row r="3" spans="1:8" s="11" customFormat="1" ht="11.25" customHeight="1">
      <c r="A3" s="190"/>
      <c r="B3" s="190"/>
      <c r="C3" s="10"/>
      <c r="D3" s="10"/>
      <c r="E3" s="191"/>
      <c r="F3" s="191"/>
      <c r="G3" s="191"/>
      <c r="H3" s="36"/>
    </row>
    <row r="4" spans="1:8" ht="18" customHeight="1">
      <c r="A4" s="472" t="s">
        <v>155</v>
      </c>
      <c r="B4" s="472"/>
      <c r="C4" s="472"/>
      <c r="D4" s="472"/>
      <c r="E4" s="472"/>
      <c r="H4" s="36"/>
    </row>
    <row r="5" spans="1:8" ht="16.5" customHeight="1">
      <c r="A5" s="473" t="s">
        <v>164</v>
      </c>
      <c r="B5" s="473"/>
      <c r="C5" s="473"/>
      <c r="D5" s="473"/>
      <c r="E5" s="473"/>
      <c r="H5" s="36"/>
    </row>
    <row r="7" spans="1:7" ht="12.75" customHeight="1">
      <c r="A7" s="469" t="s">
        <v>8</v>
      </c>
      <c r="B7" s="469"/>
      <c r="C7" s="469"/>
      <c r="D7" s="469"/>
      <c r="E7" s="469" t="s">
        <v>9</v>
      </c>
      <c r="F7" s="469" t="s">
        <v>10</v>
      </c>
      <c r="G7" s="469" t="s">
        <v>10</v>
      </c>
    </row>
    <row r="8" spans="1:7" ht="12.75" customHeight="1">
      <c r="A8" s="469"/>
      <c r="B8" s="469"/>
      <c r="C8" s="469"/>
      <c r="D8" s="469"/>
      <c r="E8" s="469"/>
      <c r="F8" s="469"/>
      <c r="G8" s="469"/>
    </row>
    <row r="9" spans="1:7" ht="15" customHeight="1">
      <c r="A9" s="337" t="s">
        <v>12</v>
      </c>
      <c r="B9" s="337" t="s">
        <v>13</v>
      </c>
      <c r="C9" s="337" t="s">
        <v>14</v>
      </c>
      <c r="D9" s="337" t="s">
        <v>1031</v>
      </c>
      <c r="E9" s="469"/>
      <c r="F9" s="338" t="s">
        <v>15</v>
      </c>
      <c r="G9" s="338" t="s">
        <v>16</v>
      </c>
    </row>
    <row r="10" spans="1:7" ht="16.5" customHeight="1">
      <c r="A10" s="483" t="s">
        <v>17</v>
      </c>
      <c r="B10" s="483" t="s">
        <v>18</v>
      </c>
      <c r="C10" s="483" t="s">
        <v>19</v>
      </c>
      <c r="D10" s="483">
        <v>2.78</v>
      </c>
      <c r="E10" s="339" t="s">
        <v>1032</v>
      </c>
      <c r="F10" s="340">
        <f>350*Главная!$B$134</f>
        <v>11865</v>
      </c>
      <c r="G10" s="341">
        <f aca="true" t="shared" si="0" ref="G10:G16">F10/$D$10</f>
        <v>4267.985611510791</v>
      </c>
    </row>
    <row r="11" spans="1:7" ht="16.5" customHeight="1">
      <c r="A11" s="483"/>
      <c r="B11" s="483"/>
      <c r="C11" s="483"/>
      <c r="D11" s="483"/>
      <c r="E11" s="339" t="s">
        <v>1033</v>
      </c>
      <c r="F11" s="340">
        <f>365*Главная!$B$134</f>
        <v>12373.5</v>
      </c>
      <c r="G11" s="341">
        <f t="shared" si="0"/>
        <v>4450.89928057554</v>
      </c>
    </row>
    <row r="12" spans="1:7" ht="16.5" customHeight="1">
      <c r="A12" s="483"/>
      <c r="B12" s="483"/>
      <c r="C12" s="483"/>
      <c r="D12" s="483"/>
      <c r="E12" s="339" t="s">
        <v>1034</v>
      </c>
      <c r="F12" s="340">
        <f>480*Главная!$B$134</f>
        <v>16272</v>
      </c>
      <c r="G12" s="341">
        <f t="shared" si="0"/>
        <v>5853.237410071943</v>
      </c>
    </row>
    <row r="13" spans="1:7" ht="16.5" customHeight="1">
      <c r="A13" s="483"/>
      <c r="B13" s="483"/>
      <c r="C13" s="483"/>
      <c r="D13" s="483"/>
      <c r="E13" s="339" t="s">
        <v>1035</v>
      </c>
      <c r="F13" s="340">
        <f>515*Главная!$B$134</f>
        <v>17458.5</v>
      </c>
      <c r="G13" s="341">
        <f t="shared" si="0"/>
        <v>6280.035971223022</v>
      </c>
    </row>
    <row r="14" spans="1:7" ht="13.5">
      <c r="A14" s="483"/>
      <c r="B14" s="483"/>
      <c r="C14" s="483"/>
      <c r="D14" s="483"/>
      <c r="E14" s="339" t="s">
        <v>1036</v>
      </c>
      <c r="F14" s="340">
        <f>550*Главная!$B$134</f>
        <v>18645</v>
      </c>
      <c r="G14" s="341">
        <f>F14/$D$10</f>
        <v>6706.834532374101</v>
      </c>
    </row>
    <row r="15" spans="1:7" ht="16.5" customHeight="1">
      <c r="A15" s="483"/>
      <c r="B15" s="483"/>
      <c r="C15" s="483"/>
      <c r="D15" s="483"/>
      <c r="E15" s="339" t="s">
        <v>1037</v>
      </c>
      <c r="F15" s="340">
        <f>575*Главная!$B$134</f>
        <v>19492.5</v>
      </c>
      <c r="G15" s="341">
        <f t="shared" si="0"/>
        <v>7011.690647482015</v>
      </c>
    </row>
    <row r="16" spans="1:7" ht="16.5" customHeight="1">
      <c r="A16" s="483"/>
      <c r="B16" s="483"/>
      <c r="C16" s="483"/>
      <c r="D16" s="483"/>
      <c r="E16" s="339" t="s">
        <v>1038</v>
      </c>
      <c r="F16" s="340">
        <f>600*Главная!$B$134</f>
        <v>20340</v>
      </c>
      <c r="G16" s="341">
        <f t="shared" si="0"/>
        <v>7316.546762589928</v>
      </c>
    </row>
    <row r="17" ht="16.5" customHeight="1"/>
    <row r="19" ht="16.5" customHeight="1"/>
    <row r="20" spans="1:7" ht="16.5" customHeight="1">
      <c r="A20" s="56"/>
      <c r="B20" s="56"/>
      <c r="C20" s="56"/>
      <c r="D20" s="56"/>
      <c r="E20" s="57"/>
      <c r="F20" s="58"/>
      <c r="G20" s="58"/>
    </row>
    <row r="21" spans="1:7" ht="17.25">
      <c r="A21" s="480" t="s">
        <v>165</v>
      </c>
      <c r="B21" s="480"/>
      <c r="C21" s="480"/>
      <c r="D21" s="480"/>
      <c r="E21" s="480"/>
      <c r="F21" s="480"/>
      <c r="G21" s="480"/>
    </row>
    <row r="22" spans="1:7" ht="17.25" customHeight="1">
      <c r="A22" s="486" t="s">
        <v>166</v>
      </c>
      <c r="B22" s="486"/>
      <c r="C22" s="486"/>
      <c r="D22" s="486"/>
      <c r="E22" s="486"/>
      <c r="F22" s="486"/>
      <c r="G22" s="486"/>
    </row>
    <row r="23" spans="1:7" s="66" customFormat="1" ht="13.5" customHeight="1">
      <c r="A23" s="484" t="s">
        <v>167</v>
      </c>
      <c r="B23" s="484"/>
      <c r="C23" s="484"/>
      <c r="D23" s="485" t="s">
        <v>168</v>
      </c>
      <c r="E23" s="485"/>
      <c r="F23" s="485"/>
      <c r="G23" s="485"/>
    </row>
    <row r="24" spans="1:7" s="66" customFormat="1" ht="13.5" customHeight="1">
      <c r="A24" s="65"/>
      <c r="B24" s="67" t="s">
        <v>182</v>
      </c>
      <c r="C24" s="482" t="s">
        <v>183</v>
      </c>
      <c r="D24" s="482"/>
      <c r="E24" s="482"/>
      <c r="F24" s="482"/>
      <c r="G24" s="482"/>
    </row>
    <row r="25" spans="1:7" s="66" customFormat="1" ht="13.5" customHeight="1">
      <c r="A25" s="65"/>
      <c r="B25" s="67" t="s">
        <v>184</v>
      </c>
      <c r="C25" s="477" t="s">
        <v>185</v>
      </c>
      <c r="D25" s="477"/>
      <c r="E25" s="477"/>
      <c r="F25" s="477"/>
      <c r="G25" s="477"/>
    </row>
    <row r="26" ht="11.25" customHeight="1"/>
    <row r="27" spans="1:6" ht="12.75">
      <c r="A27" s="438"/>
      <c r="B27" s="475" t="s">
        <v>156</v>
      </c>
      <c r="C27" s="475" t="s">
        <v>157</v>
      </c>
      <c r="E27" s="475" t="s">
        <v>156</v>
      </c>
      <c r="F27" s="475" t="s">
        <v>157</v>
      </c>
    </row>
    <row r="28" spans="1:6" ht="12.75">
      <c r="A28" s="438"/>
      <c r="B28" s="475"/>
      <c r="C28" s="475"/>
      <c r="E28" s="475"/>
      <c r="F28" s="475"/>
    </row>
    <row r="29" spans="1:6" ht="13.5">
      <c r="A29" s="40"/>
      <c r="B29" s="46">
        <v>802</v>
      </c>
      <c r="C29" s="59">
        <f>158*Главная!B134</f>
        <v>5356.2</v>
      </c>
      <c r="E29" s="68" t="s">
        <v>344</v>
      </c>
      <c r="F29" s="152">
        <f>235*Главная!B134</f>
        <v>7966.5</v>
      </c>
    </row>
    <row r="30" spans="1:6" ht="13.5">
      <c r="A30" s="40"/>
      <c r="B30" s="46">
        <v>804</v>
      </c>
      <c r="C30" s="59">
        <f>223*Главная!B134</f>
        <v>7559.7</v>
      </c>
      <c r="E30" s="68" t="s">
        <v>345</v>
      </c>
      <c r="F30" s="152">
        <f>165*Главная!B134</f>
        <v>5593.5</v>
      </c>
    </row>
    <row r="31" spans="1:6" ht="13.5">
      <c r="A31" s="40"/>
      <c r="B31" s="46">
        <v>805</v>
      </c>
      <c r="C31" s="59">
        <f>252*Главная!B134</f>
        <v>8542.8</v>
      </c>
      <c r="E31" s="68" t="s">
        <v>346</v>
      </c>
      <c r="F31" s="152">
        <f>205*Главная!B134</f>
        <v>6949.5</v>
      </c>
    </row>
    <row r="32" spans="1:6" ht="13.5">
      <c r="A32" s="40"/>
      <c r="B32" s="46">
        <v>810</v>
      </c>
      <c r="C32" s="59">
        <f>125*Главная!B134</f>
        <v>4237.5</v>
      </c>
      <c r="E32" s="68" t="s">
        <v>347</v>
      </c>
      <c r="F32" s="152">
        <f>215*Главная!B134</f>
        <v>7288.5</v>
      </c>
    </row>
    <row r="33" spans="1:6" ht="13.5">
      <c r="A33" s="40"/>
      <c r="B33" s="46">
        <v>815</v>
      </c>
      <c r="C33" s="59">
        <f>161*Главная!B134</f>
        <v>5457.9</v>
      </c>
      <c r="E33" s="46" t="s">
        <v>348</v>
      </c>
      <c r="F33" s="153">
        <f>245*Главная!B134</f>
        <v>8305.5</v>
      </c>
    </row>
    <row r="34" spans="1:6" ht="13.5">
      <c r="A34" s="40"/>
      <c r="B34" s="46">
        <v>820</v>
      </c>
      <c r="C34" s="59">
        <f>110*Главная!B134</f>
        <v>3729</v>
      </c>
      <c r="E34" s="46" t="s">
        <v>349</v>
      </c>
      <c r="F34" s="153">
        <f>260*Главная!B134</f>
        <v>8814</v>
      </c>
    </row>
    <row r="35" spans="1:6" ht="13.5">
      <c r="A35" s="40"/>
      <c r="B35" s="46">
        <v>809</v>
      </c>
      <c r="C35" s="59">
        <f>178*Главная!B134</f>
        <v>6034.2</v>
      </c>
      <c r="E35" s="46" t="s">
        <v>350</v>
      </c>
      <c r="F35" s="153">
        <f>358*Главная!B134</f>
        <v>12136.199999999999</v>
      </c>
    </row>
    <row r="36" spans="1:6" ht="13.5">
      <c r="A36" s="40"/>
      <c r="B36" s="46">
        <v>831</v>
      </c>
      <c r="C36" s="59">
        <f>168*Главная!B134</f>
        <v>5695.2</v>
      </c>
      <c r="E36" s="46" t="s">
        <v>351</v>
      </c>
      <c r="F36" s="153">
        <f>407*Главная!B134</f>
        <v>13797.3</v>
      </c>
    </row>
    <row r="37" spans="1:6" ht="13.5">
      <c r="A37" s="40"/>
      <c r="B37" s="46">
        <v>850</v>
      </c>
      <c r="C37" s="59">
        <f>367*Главная!B134</f>
        <v>12441.3</v>
      </c>
      <c r="E37" s="46" t="s">
        <v>352</v>
      </c>
      <c r="F37" s="153">
        <f>278*Главная!B134</f>
        <v>9424.199999999999</v>
      </c>
    </row>
    <row r="38" spans="1:6" ht="13.5">
      <c r="A38" s="40"/>
      <c r="B38" s="46">
        <v>857</v>
      </c>
      <c r="C38" s="59">
        <f>140*Главная!B134</f>
        <v>4746</v>
      </c>
      <c r="E38" s="46" t="s">
        <v>353</v>
      </c>
      <c r="F38" s="153">
        <f>294*Главная!B134</f>
        <v>9966.6</v>
      </c>
    </row>
    <row r="39" spans="1:6" ht="13.5">
      <c r="A39" s="40"/>
      <c r="B39" s="46">
        <v>859</v>
      </c>
      <c r="C39" s="59">
        <f>233*Главная!B134</f>
        <v>7898.7</v>
      </c>
      <c r="E39" s="46" t="s">
        <v>354</v>
      </c>
      <c r="F39" s="154">
        <f>323*Главная!B134</f>
        <v>10949.699999999999</v>
      </c>
    </row>
    <row r="40" spans="1:6" ht="13.5">
      <c r="A40" s="40"/>
      <c r="B40" s="46">
        <v>871</v>
      </c>
      <c r="C40" s="59">
        <f>380*Главная!B134</f>
        <v>12882</v>
      </c>
      <c r="E40" s="46" t="s">
        <v>355</v>
      </c>
      <c r="F40" s="155">
        <f>334*Главная!B134</f>
        <v>11322.6</v>
      </c>
    </row>
    <row r="41" spans="1:6" ht="13.5">
      <c r="A41" s="40"/>
      <c r="B41" s="46">
        <v>873</v>
      </c>
      <c r="C41" s="59">
        <f>436*Главная!B134</f>
        <v>14780.4</v>
      </c>
      <c r="E41" s="46" t="s">
        <v>356</v>
      </c>
      <c r="F41" s="155">
        <f>389*Главная!B134</f>
        <v>13187.099999999999</v>
      </c>
    </row>
    <row r="42" spans="1:6" ht="13.5">
      <c r="A42" s="40"/>
      <c r="B42" s="46">
        <v>881</v>
      </c>
      <c r="C42" s="59">
        <f>430*Главная!B134</f>
        <v>14577</v>
      </c>
      <c r="E42" s="46" t="s">
        <v>357</v>
      </c>
      <c r="F42" s="155">
        <f>407*Главная!B134</f>
        <v>13797.3</v>
      </c>
    </row>
    <row r="43" spans="1:6" ht="13.5">
      <c r="A43" s="40"/>
      <c r="B43" s="46" t="s">
        <v>186</v>
      </c>
      <c r="C43" s="59">
        <f>249*Главная!B134</f>
        <v>8441.1</v>
      </c>
      <c r="E43" s="46" t="s">
        <v>358</v>
      </c>
      <c r="F43" s="155">
        <f>378*Главная!B134</f>
        <v>12814.199999999999</v>
      </c>
    </row>
    <row r="44" spans="1:6" ht="13.5">
      <c r="A44" s="40"/>
      <c r="B44" s="46" t="s">
        <v>187</v>
      </c>
      <c r="C44" s="59">
        <f>275*Главная!B134</f>
        <v>9322.5</v>
      </c>
      <c r="E44" s="46" t="s">
        <v>359</v>
      </c>
      <c r="F44" s="154">
        <f>323*Главная!B134</f>
        <v>10949.699999999999</v>
      </c>
    </row>
    <row r="45" spans="1:6" ht="13.5">
      <c r="A45" s="40"/>
      <c r="B45" s="46" t="s">
        <v>188</v>
      </c>
      <c r="C45" s="59">
        <f>165*Главная!B134</f>
        <v>5593.5</v>
      </c>
      <c r="E45" s="46" t="s">
        <v>360</v>
      </c>
      <c r="F45" s="154">
        <f>345*Главная!B134</f>
        <v>11695.5</v>
      </c>
    </row>
    <row r="46" spans="1:6" ht="13.5">
      <c r="A46" s="40"/>
      <c r="B46" s="46" t="s">
        <v>189</v>
      </c>
      <c r="C46" s="59">
        <f>222*Главная!B134</f>
        <v>7525.799999999999</v>
      </c>
      <c r="E46" s="46" t="s">
        <v>361</v>
      </c>
      <c r="F46" s="154">
        <f>354*Главная!B134</f>
        <v>12000.6</v>
      </c>
    </row>
    <row r="47" spans="1:3" ht="13.5">
      <c r="A47" s="40"/>
      <c r="B47" s="46" t="s">
        <v>190</v>
      </c>
      <c r="C47" s="59">
        <f>266*Главная!B134</f>
        <v>9017.4</v>
      </c>
    </row>
    <row r="48" ht="13.5">
      <c r="A48" s="40"/>
    </row>
    <row r="49" spans="1:6" ht="17.25">
      <c r="A49" s="40"/>
      <c r="B49" s="480" t="s">
        <v>362</v>
      </c>
      <c r="C49" s="480"/>
      <c r="D49" s="480"/>
      <c r="E49" s="480"/>
      <c r="F49" s="480"/>
    </row>
    <row r="50" spans="1:3" ht="13.5">
      <c r="A50" s="40"/>
      <c r="B50" s="40"/>
      <c r="C50" s="156"/>
    </row>
    <row r="51" spans="1:6" ht="13.5">
      <c r="A51" s="40"/>
      <c r="B51" s="475" t="s">
        <v>156</v>
      </c>
      <c r="C51" s="481" t="s">
        <v>161</v>
      </c>
      <c r="D51" s="481"/>
      <c r="E51" s="481"/>
      <c r="F51" s="481"/>
    </row>
    <row r="52" spans="1:6" ht="13.5">
      <c r="A52" s="40"/>
      <c r="B52" s="475"/>
      <c r="C52" s="157" t="s">
        <v>363</v>
      </c>
      <c r="D52" s="158">
        <v>2</v>
      </c>
      <c r="E52" s="158">
        <v>3</v>
      </c>
      <c r="F52" s="158">
        <v>4</v>
      </c>
    </row>
    <row r="53" spans="1:6" ht="13.5">
      <c r="A53" s="40"/>
      <c r="B53" s="46">
        <v>9501</v>
      </c>
      <c r="C53" s="159">
        <f>410*Главная!B134</f>
        <v>13899</v>
      </c>
      <c r="D53" s="159">
        <f>436*Главная!B134</f>
        <v>14780.4</v>
      </c>
      <c r="E53" s="159">
        <f>449*Главная!B134</f>
        <v>15221.099999999999</v>
      </c>
      <c r="F53" s="159">
        <f>457*Главная!B134</f>
        <v>15492.3</v>
      </c>
    </row>
    <row r="54" spans="1:6" ht="13.5">
      <c r="A54" s="40"/>
      <c r="B54" s="46">
        <v>9502</v>
      </c>
      <c r="C54" s="159">
        <f>470*Главная!B134</f>
        <v>15933</v>
      </c>
      <c r="D54" s="159">
        <f>509*Главная!B134</f>
        <v>17255.1</v>
      </c>
      <c r="E54" s="159">
        <f>518*Главная!B134</f>
        <v>17560.2</v>
      </c>
      <c r="F54" s="159">
        <f>528*Главная!B134</f>
        <v>17899.2</v>
      </c>
    </row>
    <row r="55" spans="1:6" ht="13.5">
      <c r="A55" s="40"/>
      <c r="B55" s="46">
        <v>9503</v>
      </c>
      <c r="C55" s="159">
        <f>528*Главная!B134</f>
        <v>17899.2</v>
      </c>
      <c r="D55" s="159">
        <f>591*Главная!B134</f>
        <v>20034.899999999998</v>
      </c>
      <c r="E55" s="159">
        <f>604*Главная!B134</f>
        <v>20475.6</v>
      </c>
      <c r="F55" s="159">
        <f>621*Главная!B134</f>
        <v>21051.899999999998</v>
      </c>
    </row>
    <row r="56" spans="1:6" ht="13.5">
      <c r="A56" s="40"/>
      <c r="B56" s="46">
        <v>9504</v>
      </c>
      <c r="C56" s="159">
        <f>569*Главная!B134</f>
        <v>19289.1</v>
      </c>
      <c r="D56" s="159">
        <f>628*Главная!B134</f>
        <v>21289.2</v>
      </c>
      <c r="E56" s="159">
        <f>645*Главная!B134</f>
        <v>21865.5</v>
      </c>
      <c r="F56" s="159">
        <f>656*Главная!B134</f>
        <v>22238.399999999998</v>
      </c>
    </row>
    <row r="57" spans="1:6" ht="13.5">
      <c r="A57" s="40"/>
      <c r="B57" s="46">
        <v>9505</v>
      </c>
      <c r="C57" s="159">
        <f>578*Главная!B134</f>
        <v>19594.2</v>
      </c>
      <c r="D57" s="159">
        <f>659*Главная!B134</f>
        <v>22340.1</v>
      </c>
      <c r="E57" s="159">
        <f>675*Главная!B134</f>
        <v>22882.5</v>
      </c>
      <c r="F57" s="159">
        <f>688*Главная!B134</f>
        <v>23323.2</v>
      </c>
    </row>
    <row r="58" ht="13.5">
      <c r="A58" s="40"/>
    </row>
    <row r="59" spans="1:7" ht="17.25">
      <c r="A59" s="479" t="s">
        <v>169</v>
      </c>
      <c r="B59" s="479"/>
      <c r="C59" s="479"/>
      <c r="D59" s="479"/>
      <c r="E59" s="479"/>
      <c r="F59" s="479"/>
      <c r="G59" s="479"/>
    </row>
    <row r="60" spans="1:7" ht="17.25">
      <c r="A60" s="60"/>
      <c r="B60" s="60"/>
      <c r="C60" s="60"/>
      <c r="D60" s="60"/>
      <c r="E60" s="60"/>
      <c r="F60" s="60"/>
      <c r="G60" s="60"/>
    </row>
    <row r="61" spans="1:7" ht="15">
      <c r="A61" s="459" t="s">
        <v>21</v>
      </c>
      <c r="B61" s="459"/>
      <c r="C61" s="459"/>
      <c r="D61" s="459"/>
      <c r="E61" s="459"/>
      <c r="F61" s="459"/>
      <c r="G61" s="459"/>
    </row>
    <row r="62" spans="1:8" ht="12.75">
      <c r="A62" s="473" t="s">
        <v>22</v>
      </c>
      <c r="B62" s="473"/>
      <c r="C62" s="473"/>
      <c r="D62" s="473"/>
      <c r="E62" s="473"/>
      <c r="F62" s="473"/>
      <c r="G62" s="473"/>
      <c r="H62" s="48" t="s">
        <v>11</v>
      </c>
    </row>
    <row r="63" spans="1:7" ht="10.5" customHeight="1">
      <c r="A63" s="38"/>
      <c r="B63" s="38"/>
      <c r="C63" s="38"/>
      <c r="D63" s="38"/>
      <c r="E63" s="17"/>
      <c r="F63" s="17"/>
      <c r="G63" s="17"/>
    </row>
    <row r="64" spans="1:7" ht="15" customHeight="1">
      <c r="A64" s="476" t="s">
        <v>23</v>
      </c>
      <c r="B64" s="476"/>
      <c r="C64" s="476"/>
      <c r="D64" s="55">
        <f>8*Главная!B134</f>
        <v>271.2</v>
      </c>
      <c r="E64" s="18"/>
      <c r="F64" s="19"/>
      <c r="G64" s="20"/>
    </row>
    <row r="65" spans="1:7" ht="15" customHeight="1">
      <c r="A65" s="476" t="s">
        <v>24</v>
      </c>
      <c r="B65" s="476"/>
      <c r="C65" s="476"/>
      <c r="D65" s="55">
        <f>38*Главная!B134</f>
        <v>1288.2</v>
      </c>
      <c r="E65" s="18"/>
      <c r="F65" s="19"/>
      <c r="G65" s="20"/>
    </row>
    <row r="66" spans="1:7" ht="12.75">
      <c r="A66" s="478" t="s">
        <v>25</v>
      </c>
      <c r="B66" s="478"/>
      <c r="C66" s="478"/>
      <c r="D66" s="55">
        <f>1*Главная!B134</f>
        <v>33.9</v>
      </c>
      <c r="E66" s="18"/>
      <c r="F66" s="16"/>
      <c r="G66" s="16"/>
    </row>
  </sheetData>
  <sheetProtection/>
  <mergeCells count="33">
    <mergeCell ref="C24:G24"/>
    <mergeCell ref="A10:A16"/>
    <mergeCell ref="B10:B16"/>
    <mergeCell ref="C10:C16"/>
    <mergeCell ref="D10:D16"/>
    <mergeCell ref="A23:C23"/>
    <mergeCell ref="D23:G23"/>
    <mergeCell ref="A21:G21"/>
    <mergeCell ref="A22:G22"/>
    <mergeCell ref="A66:C66"/>
    <mergeCell ref="A59:G59"/>
    <mergeCell ref="A61:G61"/>
    <mergeCell ref="A62:G62"/>
    <mergeCell ref="A65:C65"/>
    <mergeCell ref="B49:F49"/>
    <mergeCell ref="C51:F51"/>
    <mergeCell ref="F27:F28"/>
    <mergeCell ref="B51:B52"/>
    <mergeCell ref="A64:C64"/>
    <mergeCell ref="C27:C28"/>
    <mergeCell ref="C25:G25"/>
    <mergeCell ref="E27:E28"/>
    <mergeCell ref="B27:B28"/>
    <mergeCell ref="A27:A28"/>
    <mergeCell ref="G7:G8"/>
    <mergeCell ref="A1:B1"/>
    <mergeCell ref="E1:G1"/>
    <mergeCell ref="A7:D8"/>
    <mergeCell ref="E7:E9"/>
    <mergeCell ref="A4:E4"/>
    <mergeCell ref="A5:E5"/>
    <mergeCell ref="F7:F8"/>
    <mergeCell ref="A2:G2"/>
  </mergeCells>
  <hyperlinks>
    <hyperlink ref="H62" location="Главная!A1" display="на главную"/>
    <hyperlink ref="A5:E5" r:id="rId1" display="Смотрите виды и характеристики акрилового камня Corian® на сайте:"/>
    <hyperlink ref="A22:G22" r:id="rId2" display="посмотреть модели моек с размерами на сайте"/>
    <hyperlink ref="A59:G59" r:id="rId3" display="Посмотреть  акции  на  Corian®!"/>
    <hyperlink ref="A62:G62" r:id="rId4" display="Смотрите виды и характеристики сопутствующих материалов на сайте:"/>
  </hyperlinks>
  <printOptions/>
  <pageMargins left="0.984251968503937" right="0.6299212598425197" top="0.1968503937007874" bottom="0.1968503937007874" header="0.2362204724409449" footer="0.1968503937007874"/>
  <pageSetup horizontalDpi="600" verticalDpi="600" orientation="portrait" paperSize="9" scale="76" r:id="rId7"/>
  <headerFooter>
    <oddHeader>&amp;C&amp;G</oddHeader>
  </headerFooter>
  <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131"/>
  <sheetViews>
    <sheetView view="pageLayout" zoomScaleSheetLayoutView="100" workbookViewId="0" topLeftCell="A1">
      <selection activeCell="A16" sqref="A16:IV16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20.625" style="0" customWidth="1"/>
    <col min="6" max="6" width="12.50390625" style="0" customWidth="1"/>
    <col min="7" max="7" width="11.625" style="0" customWidth="1"/>
    <col min="8" max="8" width="10.625" style="0" bestFit="1" customWidth="1"/>
  </cols>
  <sheetData>
    <row r="1" spans="1:8" ht="12" customHeight="1">
      <c r="A1" s="51"/>
      <c r="B1" s="51"/>
      <c r="C1" s="51"/>
      <c r="D1" s="51"/>
      <c r="E1" s="51"/>
      <c r="F1" s="51"/>
      <c r="G1" s="51"/>
      <c r="H1" s="36"/>
    </row>
    <row r="2" spans="1:8" s="11" customFormat="1" ht="16.5" customHeight="1">
      <c r="A2" s="496" t="s">
        <v>595</v>
      </c>
      <c r="B2" s="496"/>
      <c r="C2" s="496"/>
      <c r="D2" s="496"/>
      <c r="E2" s="471" t="s">
        <v>180</v>
      </c>
      <c r="F2" s="471"/>
      <c r="G2" s="471"/>
      <c r="H2" s="36"/>
    </row>
    <row r="3" spans="1:2" ht="20.25" customHeight="1">
      <c r="A3" s="187" t="s">
        <v>596</v>
      </c>
      <c r="B3" s="187"/>
    </row>
    <row r="4" spans="1:8" s="14" customFormat="1" ht="18" customHeight="1">
      <c r="A4" s="494" t="s">
        <v>154</v>
      </c>
      <c r="B4" s="494"/>
      <c r="C4" s="494"/>
      <c r="D4" s="494"/>
      <c r="E4" s="494"/>
      <c r="F4" s="495"/>
      <c r="G4" s="495"/>
      <c r="H4" s="28"/>
    </row>
    <row r="5" spans="1:8" s="14" customFormat="1" ht="14.25" customHeight="1">
      <c r="A5" s="473" t="s">
        <v>170</v>
      </c>
      <c r="B5" s="473"/>
      <c r="C5" s="473"/>
      <c r="D5" s="473"/>
      <c r="E5" s="473"/>
      <c r="F5" s="495"/>
      <c r="G5" s="495"/>
      <c r="H5" s="28"/>
    </row>
    <row r="6" spans="1:7" s="14" customFormat="1" ht="6" customHeight="1">
      <c r="A6" s="54"/>
      <c r="B6" s="54"/>
      <c r="C6" s="54"/>
      <c r="D6" s="54"/>
      <c r="E6" s="54"/>
      <c r="F6" s="52"/>
      <c r="G6" s="52"/>
    </row>
    <row r="7" spans="1:8" s="14" customFormat="1" ht="15" customHeight="1">
      <c r="A7" s="12"/>
      <c r="B7" s="12"/>
      <c r="C7" s="12"/>
      <c r="D7" s="12"/>
      <c r="E7" s="12"/>
      <c r="F7" s="52"/>
      <c r="G7" s="52"/>
      <c r="H7" s="28"/>
    </row>
    <row r="8" spans="1:7" s="14" customFormat="1" ht="14.25" customHeight="1">
      <c r="A8" s="469" t="s">
        <v>8</v>
      </c>
      <c r="B8" s="469"/>
      <c r="C8" s="469"/>
      <c r="D8" s="469"/>
      <c r="E8" s="469" t="s">
        <v>9</v>
      </c>
      <c r="F8" s="469" t="s">
        <v>1039</v>
      </c>
      <c r="G8" s="469"/>
    </row>
    <row r="9" spans="1:7" s="14" customFormat="1" ht="10.5" customHeight="1">
      <c r="A9" s="469"/>
      <c r="B9" s="469"/>
      <c r="C9" s="469"/>
      <c r="D9" s="469"/>
      <c r="E9" s="469"/>
      <c r="F9" s="469"/>
      <c r="G9" s="469"/>
    </row>
    <row r="10" spans="1:7" s="14" customFormat="1" ht="21.75" customHeight="1">
      <c r="A10" s="337" t="s">
        <v>12</v>
      </c>
      <c r="B10" s="337" t="s">
        <v>13</v>
      </c>
      <c r="C10" s="337" t="s">
        <v>14</v>
      </c>
      <c r="D10" s="337" t="s">
        <v>1031</v>
      </c>
      <c r="E10" s="469"/>
      <c r="F10" s="338" t="s">
        <v>15</v>
      </c>
      <c r="G10" s="338" t="s">
        <v>16</v>
      </c>
    </row>
    <row r="11" spans="1:7" s="14" customFormat="1" ht="24.75" customHeight="1">
      <c r="A11" s="490" t="s">
        <v>162</v>
      </c>
      <c r="B11" s="490" t="s">
        <v>1040</v>
      </c>
      <c r="C11" s="490" t="s">
        <v>1041</v>
      </c>
      <c r="D11" s="490">
        <v>2.78</v>
      </c>
      <c r="E11" s="342" t="s">
        <v>1042</v>
      </c>
      <c r="F11" s="343">
        <f>155*Главная!$B$134</f>
        <v>5254.5</v>
      </c>
      <c r="G11" s="344">
        <f>F11/2.78008</f>
        <v>1890.0535236396076</v>
      </c>
    </row>
    <row r="12" spans="1:7" s="14" customFormat="1" ht="108.75" customHeight="1">
      <c r="A12" s="490"/>
      <c r="B12" s="490"/>
      <c r="C12" s="490"/>
      <c r="D12" s="490"/>
      <c r="E12" s="342" t="s">
        <v>1043</v>
      </c>
      <c r="F12" s="343">
        <f>237*Главная!$B$134</f>
        <v>8034.299999999999</v>
      </c>
      <c r="G12" s="344">
        <f>F12/2.78008</f>
        <v>2889.952807113464</v>
      </c>
    </row>
    <row r="13" spans="1:7" s="14" customFormat="1" ht="34.5" customHeight="1">
      <c r="A13" s="490"/>
      <c r="B13" s="490"/>
      <c r="C13" s="490"/>
      <c r="D13" s="490"/>
      <c r="E13" s="342" t="s">
        <v>1044</v>
      </c>
      <c r="F13" s="343">
        <f>295*Главная!$B$134</f>
        <v>10000.5</v>
      </c>
      <c r="G13" s="344">
        <f>F13/2.78008</f>
        <v>3597.198641765705</v>
      </c>
    </row>
    <row r="14" s="14" customFormat="1" ht="19.5" customHeight="1">
      <c r="A14" s="28"/>
    </row>
    <row r="15" spans="1:3" s="14" customFormat="1" ht="19.5" customHeight="1">
      <c r="A15" s="50" t="s">
        <v>11</v>
      </c>
      <c r="B15" s="35"/>
      <c r="C15" s="35"/>
    </row>
    <row r="16" spans="1:3" s="14" customFormat="1" ht="19.5" customHeight="1">
      <c r="A16" s="27"/>
      <c r="B16" s="35"/>
      <c r="C16" s="35"/>
    </row>
    <row r="17" spans="1:10" s="14" customFormat="1" ht="15" customHeight="1">
      <c r="A17" s="61"/>
      <c r="B17" s="61"/>
      <c r="C17" s="61"/>
      <c r="D17" s="61"/>
      <c r="E17" s="62"/>
      <c r="F17" s="63"/>
      <c r="G17" s="63"/>
      <c r="H17" s="23"/>
      <c r="I17" s="28"/>
      <c r="J17" s="28"/>
    </row>
    <row r="18" spans="1:7" ht="17.25">
      <c r="A18" s="480" t="s">
        <v>171</v>
      </c>
      <c r="B18" s="480"/>
      <c r="C18" s="480"/>
      <c r="D18" s="480"/>
      <c r="E18" s="480"/>
      <c r="F18" s="480"/>
      <c r="G18" s="480"/>
    </row>
    <row r="19" spans="1:7" ht="17.25" customHeight="1">
      <c r="A19" s="486" t="s">
        <v>166</v>
      </c>
      <c r="B19" s="486"/>
      <c r="C19" s="486"/>
      <c r="D19" s="486"/>
      <c r="E19" s="486"/>
      <c r="F19" s="486"/>
      <c r="G19" s="486"/>
    </row>
    <row r="20" spans="4:7" ht="9" customHeight="1">
      <c r="D20" s="488"/>
      <c r="E20" s="488"/>
      <c r="F20" s="488"/>
      <c r="G20" s="488"/>
    </row>
    <row r="21" spans="1:7" ht="18" customHeight="1">
      <c r="A21" s="489" t="s">
        <v>172</v>
      </c>
      <c r="B21" s="489"/>
      <c r="C21" s="489"/>
      <c r="D21" s="53"/>
      <c r="E21" s="484"/>
      <c r="F21" s="484"/>
      <c r="G21" s="484"/>
    </row>
    <row r="22" spans="4:7" ht="9" customHeight="1">
      <c r="D22" s="53"/>
      <c r="E22" s="53"/>
      <c r="F22" s="53"/>
      <c r="G22" s="53"/>
    </row>
    <row r="23" spans="1:4" s="14" customFormat="1" ht="19.5" customHeight="1">
      <c r="A23" s="15"/>
      <c r="B23" s="491" t="s">
        <v>156</v>
      </c>
      <c r="C23" s="491" t="s">
        <v>157</v>
      </c>
      <c r="D23" s="16"/>
    </row>
    <row r="24" spans="1:4" s="14" customFormat="1" ht="15.75" customHeight="1">
      <c r="A24" s="15"/>
      <c r="B24" s="492"/>
      <c r="C24" s="492"/>
      <c r="D24" s="16"/>
    </row>
    <row r="25" spans="1:4" s="14" customFormat="1" ht="16.5" customHeight="1">
      <c r="A25" s="15"/>
      <c r="B25" s="47">
        <v>820</v>
      </c>
      <c r="C25" s="69">
        <f>60*Главная!B134</f>
        <v>2034</v>
      </c>
      <c r="D25" s="16"/>
    </row>
    <row r="26" spans="1:4" s="14" customFormat="1" ht="16.5" customHeight="1">
      <c r="A26" s="15"/>
      <c r="B26" s="47">
        <v>826</v>
      </c>
      <c r="C26" s="69">
        <f>69*Главная!B134</f>
        <v>2339.1</v>
      </c>
      <c r="D26" s="16"/>
    </row>
    <row r="27" spans="1:4" s="14" customFormat="1" ht="16.5" customHeight="1">
      <c r="A27" s="15"/>
      <c r="B27" s="47">
        <v>904</v>
      </c>
      <c r="C27" s="69">
        <f>113*Главная!B134</f>
        <v>3830.7</v>
      </c>
      <c r="D27" s="16"/>
    </row>
    <row r="28" spans="1:4" s="14" customFormat="1" ht="16.5" customHeight="1">
      <c r="A28" s="15"/>
      <c r="B28" s="47">
        <v>905</v>
      </c>
      <c r="C28" s="69">
        <f>120*Главная!B134</f>
        <v>4068</v>
      </c>
      <c r="D28" s="16"/>
    </row>
    <row r="29" spans="1:4" s="14" customFormat="1" ht="16.5" customHeight="1">
      <c r="A29" s="15"/>
      <c r="B29" s="47">
        <v>921</v>
      </c>
      <c r="C29" s="69">
        <f>190*Главная!B134</f>
        <v>6441</v>
      </c>
      <c r="D29" s="16"/>
    </row>
    <row r="30" spans="1:4" s="14" customFormat="1" ht="16.5" customHeight="1">
      <c r="A30" s="15"/>
      <c r="B30" s="47">
        <v>957</v>
      </c>
      <c r="C30" s="69">
        <f>60*Главная!B134</f>
        <v>2034</v>
      </c>
      <c r="D30" s="16"/>
    </row>
    <row r="31" spans="1:5" s="14" customFormat="1" ht="16.5" customHeight="1">
      <c r="A31" s="15"/>
      <c r="B31" s="47">
        <v>958</v>
      </c>
      <c r="C31" s="69">
        <f>105*Главная!B134</f>
        <v>3559.5</v>
      </c>
      <c r="D31" s="16"/>
      <c r="E31" s="73"/>
    </row>
    <row r="32" spans="1:5" s="14" customFormat="1" ht="16.5" customHeight="1">
      <c r="A32" s="15"/>
      <c r="B32" s="47">
        <v>959</v>
      </c>
      <c r="C32" s="69">
        <f>113*Главная!B134</f>
        <v>3830.7</v>
      </c>
      <c r="D32" s="16"/>
      <c r="E32" s="71"/>
    </row>
    <row r="33" spans="1:8" s="14" customFormat="1" ht="16.5" customHeight="1">
      <c r="A33" s="15"/>
      <c r="B33" s="47">
        <v>968</v>
      </c>
      <c r="C33" s="69">
        <f>95*Главная!B134</f>
        <v>3220.5</v>
      </c>
      <c r="D33" s="16"/>
      <c r="E33" s="16"/>
      <c r="F33" s="64"/>
      <c r="G33" s="16"/>
      <c r="H33" s="28"/>
    </row>
    <row r="34" spans="1:8" s="14" customFormat="1" ht="16.5" customHeight="1">
      <c r="A34" s="15"/>
      <c r="B34" s="47">
        <v>971</v>
      </c>
      <c r="C34" s="69">
        <f>174*Главная!B134</f>
        <v>5898.599999999999</v>
      </c>
      <c r="D34" s="16"/>
      <c r="E34" s="16"/>
      <c r="F34" s="64"/>
      <c r="G34" s="16"/>
      <c r="H34" s="28"/>
    </row>
    <row r="35" spans="1:8" s="14" customFormat="1" ht="12" customHeight="1">
      <c r="A35" s="487"/>
      <c r="B35" s="487"/>
      <c r="C35" s="487"/>
      <c r="D35" s="16"/>
      <c r="E35" s="16"/>
      <c r="F35" s="64"/>
      <c r="G35" s="16"/>
      <c r="H35" s="28"/>
    </row>
    <row r="36" spans="1:8" s="14" customFormat="1" ht="21" customHeight="1">
      <c r="A36" s="493" t="s">
        <v>21</v>
      </c>
      <c r="B36" s="493"/>
      <c r="C36" s="493"/>
      <c r="D36" s="493"/>
      <c r="E36" s="493"/>
      <c r="F36" s="493"/>
      <c r="G36" s="493"/>
      <c r="H36" s="28"/>
    </row>
    <row r="37" spans="1:7" ht="12.75">
      <c r="A37" s="473" t="s">
        <v>22</v>
      </c>
      <c r="B37" s="473"/>
      <c r="C37" s="473"/>
      <c r="D37" s="473"/>
      <c r="E37" s="473"/>
      <c r="F37" s="473"/>
      <c r="G37" s="473"/>
    </row>
    <row r="38" spans="1:8" s="14" customFormat="1" ht="12.75" customHeight="1">
      <c r="A38" s="38"/>
      <c r="B38" s="38"/>
      <c r="C38" s="38"/>
      <c r="D38" s="38"/>
      <c r="E38" s="17"/>
      <c r="F38" s="17"/>
      <c r="G38" s="17"/>
      <c r="H38" s="28"/>
    </row>
    <row r="39" spans="1:8" s="14" customFormat="1" ht="19.5" customHeight="1">
      <c r="A39" s="476" t="s">
        <v>23</v>
      </c>
      <c r="B39" s="476"/>
      <c r="C39" s="476"/>
      <c r="D39" s="70">
        <f>8*Главная!$B$134</f>
        <v>271.2</v>
      </c>
      <c r="E39" s="18"/>
      <c r="F39" s="19"/>
      <c r="G39" s="20"/>
      <c r="H39" s="50"/>
    </row>
    <row r="40" spans="1:8" s="14" customFormat="1" ht="19.5" customHeight="1">
      <c r="A40" s="476" t="s">
        <v>24</v>
      </c>
      <c r="B40" s="476"/>
      <c r="C40" s="476"/>
      <c r="D40" s="70">
        <f>38*Главная!$B$134</f>
        <v>1288.2</v>
      </c>
      <c r="E40" s="18"/>
      <c r="F40" s="19"/>
      <c r="G40" s="20"/>
      <c r="H40" s="28"/>
    </row>
    <row r="41" spans="1:8" s="14" customFormat="1" ht="19.5" customHeight="1">
      <c r="A41" s="478" t="s">
        <v>25</v>
      </c>
      <c r="B41" s="478"/>
      <c r="C41" s="478"/>
      <c r="D41" s="70">
        <f>1*Главная!$B$134</f>
        <v>33.9</v>
      </c>
      <c r="E41" s="18"/>
      <c r="F41" s="16"/>
      <c r="G41" s="16"/>
      <c r="H41" s="36"/>
    </row>
    <row r="43" ht="12.75">
      <c r="A43" s="48" t="s">
        <v>11</v>
      </c>
    </row>
    <row r="131" spans="1:3" ht="12.75">
      <c r="A131" t="s">
        <v>179</v>
      </c>
      <c r="C131">
        <v>10.7</v>
      </c>
    </row>
  </sheetData>
  <sheetProtection/>
  <mergeCells count="25">
    <mergeCell ref="C11:C13"/>
    <mergeCell ref="D11:D13"/>
    <mergeCell ref="E2:G2"/>
    <mergeCell ref="A4:E4"/>
    <mergeCell ref="F4:G5"/>
    <mergeCell ref="A5:E5"/>
    <mergeCell ref="A2:D2"/>
    <mergeCell ref="A8:D9"/>
    <mergeCell ref="A41:C41"/>
    <mergeCell ref="B23:B24"/>
    <mergeCell ref="C23:C24"/>
    <mergeCell ref="A36:G36"/>
    <mergeCell ref="A37:G37"/>
    <mergeCell ref="A39:C39"/>
    <mergeCell ref="A40:C40"/>
    <mergeCell ref="A18:G18"/>
    <mergeCell ref="A35:C35"/>
    <mergeCell ref="D20:G20"/>
    <mergeCell ref="A21:C21"/>
    <mergeCell ref="E21:G21"/>
    <mergeCell ref="E8:E10"/>
    <mergeCell ref="F8:G9"/>
    <mergeCell ref="A19:G19"/>
    <mergeCell ref="A11:A13"/>
    <mergeCell ref="B11:B13"/>
  </mergeCells>
  <hyperlinks>
    <hyperlink ref="A15" location="Главная!A1" display="на главную"/>
    <hyperlink ref="A5:E5" r:id="rId1" display="Смотрите виды и характеристики акрилового камня Montelli® на сайте:"/>
    <hyperlink ref="A19:G19" r:id="rId2" display="посмотреть модели моек с размерами на сайте"/>
    <hyperlink ref="A43" location="Главная!A1" display="на главную"/>
    <hyperlink ref="A37:G37" r:id="rId3" display="Смотрите виды и характеристики сопутствующих материалов на сайте:"/>
    <hyperlink ref="E31" location="'мойки в декорах камня Montelli'!R1C1" display="посмотреть модели"/>
  </hyperlinks>
  <printOptions/>
  <pageMargins left="0.52" right="0.31" top="1.1469791666666667" bottom="0.26" header="0.19" footer="0.24"/>
  <pageSetup horizontalDpi="600" verticalDpi="600" orientation="portrait" paperSize="9" scale="91" r:id="rId6"/>
  <headerFooter alignWithMargins="0">
    <oddHeader>&amp;C&amp;G</oddHead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100"/>
  <sheetViews>
    <sheetView view="pageLayout" zoomScaleSheetLayoutView="100" workbookViewId="0" topLeftCell="A1">
      <selection activeCell="J12" sqref="J12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875" style="0" customWidth="1"/>
    <col min="6" max="6" width="12.50390625" style="0" customWidth="1"/>
    <col min="7" max="7" width="11.625" style="0" customWidth="1"/>
    <col min="8" max="8" width="12.50390625" style="0" customWidth="1"/>
  </cols>
  <sheetData>
    <row r="1" spans="1:8" ht="12" customHeight="1">
      <c r="A1" s="51"/>
      <c r="B1" s="51"/>
      <c r="C1" s="51"/>
      <c r="D1" s="51"/>
      <c r="E1" s="51"/>
      <c r="F1" s="51"/>
      <c r="G1" s="51"/>
      <c r="H1" s="36"/>
    </row>
    <row r="2" spans="1:8" s="11" customFormat="1" ht="16.5" customHeight="1">
      <c r="A2" s="470">
        <f>'[1]Главная'!B2</f>
        <v>42103</v>
      </c>
      <c r="B2" s="470"/>
      <c r="C2" s="10"/>
      <c r="D2" s="10"/>
      <c r="E2" s="471" t="s">
        <v>180</v>
      </c>
      <c r="F2" s="471"/>
      <c r="G2" s="471"/>
      <c r="H2"/>
    </row>
    <row r="3" ht="12.75" customHeight="1">
      <c r="H3" s="11"/>
    </row>
    <row r="4" spans="1:8" s="14" customFormat="1" ht="18" customHeight="1">
      <c r="A4" s="494" t="s">
        <v>247</v>
      </c>
      <c r="B4" s="494"/>
      <c r="C4" s="494"/>
      <c r="D4" s="494"/>
      <c r="E4" s="494"/>
      <c r="F4" s="139"/>
      <c r="G4" s="139"/>
      <c r="H4" s="28"/>
    </row>
    <row r="5" spans="1:8" s="14" customFormat="1" ht="6" customHeight="1">
      <c r="A5" s="54"/>
      <c r="B5" s="54"/>
      <c r="C5" s="54"/>
      <c r="D5" s="54"/>
      <c r="E5" s="54"/>
      <c r="F5" s="52"/>
      <c r="G5" s="52"/>
      <c r="H5" s="28"/>
    </row>
    <row r="6" spans="1:8" s="14" customFormat="1" ht="15" customHeight="1">
      <c r="A6" s="12"/>
      <c r="B6" s="12"/>
      <c r="C6" s="12"/>
      <c r="D6" s="12"/>
      <c r="E6" s="12"/>
      <c r="F6" s="52"/>
      <c r="G6" s="52"/>
      <c r="H6" s="28"/>
    </row>
    <row r="7" spans="1:6" s="14" customFormat="1" ht="14.25" customHeight="1">
      <c r="A7" s="497" t="s">
        <v>8</v>
      </c>
      <c r="B7" s="497"/>
      <c r="C7" s="497"/>
      <c r="D7" s="497"/>
      <c r="E7" s="498" t="s">
        <v>279</v>
      </c>
      <c r="F7" s="50"/>
    </row>
    <row r="8" spans="1:6" s="14" customFormat="1" ht="15.75" customHeight="1">
      <c r="A8" s="497"/>
      <c r="B8" s="497"/>
      <c r="C8" s="497"/>
      <c r="D8" s="497"/>
      <c r="E8" s="499"/>
      <c r="F8" s="28"/>
    </row>
    <row r="9" spans="1:6" s="14" customFormat="1" ht="21.75" customHeight="1">
      <c r="A9" s="39" t="s">
        <v>248</v>
      </c>
      <c r="B9" s="39" t="s">
        <v>12</v>
      </c>
      <c r="C9" s="39" t="s">
        <v>13</v>
      </c>
      <c r="D9" s="39" t="s">
        <v>14</v>
      </c>
      <c r="E9" s="500"/>
      <c r="F9" s="28"/>
    </row>
    <row r="10" spans="1:6" s="14" customFormat="1" ht="19.5" customHeight="1">
      <c r="A10" s="140" t="s">
        <v>249</v>
      </c>
      <c r="B10" s="141" t="s">
        <v>20</v>
      </c>
      <c r="C10" s="141" t="s">
        <v>250</v>
      </c>
      <c r="D10" s="141" t="s">
        <v>251</v>
      </c>
      <c r="E10" s="142">
        <v>3500</v>
      </c>
      <c r="F10" s="28"/>
    </row>
    <row r="11" spans="1:6" s="14" customFormat="1" ht="19.5" customHeight="1">
      <c r="A11" s="140" t="s">
        <v>252</v>
      </c>
      <c r="B11" s="141" t="s">
        <v>17</v>
      </c>
      <c r="C11" s="141" t="s">
        <v>18</v>
      </c>
      <c r="D11" s="141" t="s">
        <v>253</v>
      </c>
      <c r="E11" s="142">
        <v>3500</v>
      </c>
      <c r="F11" s="28"/>
    </row>
    <row r="12" spans="1:6" s="14" customFormat="1" ht="19.5" customHeight="1">
      <c r="A12" s="140" t="s">
        <v>254</v>
      </c>
      <c r="B12" s="141" t="s">
        <v>20</v>
      </c>
      <c r="C12" s="141" t="s">
        <v>250</v>
      </c>
      <c r="D12" s="141" t="s">
        <v>255</v>
      </c>
      <c r="E12" s="142">
        <v>3500</v>
      </c>
      <c r="F12" s="28"/>
    </row>
    <row r="100" spans="1:3" ht="12.75">
      <c r="A100" t="s">
        <v>179</v>
      </c>
      <c r="C100">
        <v>10.7</v>
      </c>
    </row>
  </sheetData>
  <sheetProtection/>
  <mergeCells count="5">
    <mergeCell ref="A7:D8"/>
    <mergeCell ref="E7:E9"/>
    <mergeCell ref="A2:B2"/>
    <mergeCell ref="E2:G2"/>
    <mergeCell ref="A4:E4"/>
  </mergeCells>
  <printOptions/>
  <pageMargins left="0.75" right="0.75" top="1" bottom="1" header="0.5" footer="0.5"/>
  <pageSetup horizontalDpi="600" verticalDpi="600" orientation="portrait" paperSize="9" scale="92" r:id="rId2"/>
  <headerFooter alignWithMargins="0">
    <oddHeader>&amp;C&amp;G</oddHeader>
  </headerFooter>
  <rowBreaks count="1" manualBreakCount="1">
    <brk id="15" max="255" man="1"/>
  </rowBreaks>
  <colBreaks count="1" manualBreakCount="1">
    <brk id="7" max="6553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7"/>
  <sheetViews>
    <sheetView view="pageLayout" workbookViewId="0" topLeftCell="A79">
      <selection activeCell="J82" sqref="J82:J85"/>
    </sheetView>
  </sheetViews>
  <sheetFormatPr defaultColWidth="9.00390625" defaultRowHeight="12.75"/>
  <cols>
    <col min="1" max="1" width="7.50390625" style="0" bestFit="1" customWidth="1"/>
    <col min="2" max="2" width="27.375" style="0" customWidth="1"/>
    <col min="3" max="3" width="4.625" style="0" customWidth="1"/>
    <col min="4" max="4" width="5.125" style="0" customWidth="1"/>
    <col min="9" max="9" width="10.875" style="0" customWidth="1"/>
    <col min="10" max="10" width="10.875" style="8" customWidth="1"/>
    <col min="11" max="11" width="10.875" style="0" customWidth="1"/>
  </cols>
  <sheetData>
    <row r="2" ht="15.75" customHeight="1">
      <c r="A2" s="143" t="s">
        <v>679</v>
      </c>
    </row>
    <row r="3" ht="6" customHeight="1"/>
    <row r="4" ht="6" customHeight="1"/>
    <row r="5" ht="6" customHeight="1"/>
    <row r="7" spans="1:11" ht="12.75">
      <c r="A7" s="504" t="s">
        <v>9</v>
      </c>
      <c r="B7" s="504" t="s">
        <v>274</v>
      </c>
      <c r="C7" s="504" t="s">
        <v>300</v>
      </c>
      <c r="D7" s="504"/>
      <c r="E7" s="504" t="s">
        <v>639</v>
      </c>
      <c r="F7" s="504"/>
      <c r="G7" s="504"/>
      <c r="H7" s="504"/>
      <c r="I7" s="504" t="s">
        <v>1076</v>
      </c>
      <c r="J7" s="504"/>
      <c r="K7" s="504"/>
    </row>
    <row r="8" spans="1:11" ht="12.75">
      <c r="A8" s="504"/>
      <c r="B8" s="504"/>
      <c r="C8" s="504"/>
      <c r="D8" s="504"/>
      <c r="E8" s="196" t="s">
        <v>640</v>
      </c>
      <c r="F8" s="196" t="s">
        <v>641</v>
      </c>
      <c r="G8" s="196" t="s">
        <v>642</v>
      </c>
      <c r="H8" s="196" t="s">
        <v>643</v>
      </c>
      <c r="I8" s="196" t="s">
        <v>162</v>
      </c>
      <c r="J8" s="196" t="s">
        <v>163</v>
      </c>
      <c r="K8" s="196" t="s">
        <v>603</v>
      </c>
    </row>
    <row r="9" spans="1:11" ht="12.75">
      <c r="A9" s="505">
        <v>1</v>
      </c>
      <c r="B9" s="345" t="s">
        <v>1186</v>
      </c>
      <c r="C9" s="189" t="s">
        <v>645</v>
      </c>
      <c r="D9" s="189" t="s">
        <v>646</v>
      </c>
      <c r="E9" s="1"/>
      <c r="F9" s="1"/>
      <c r="G9" s="1"/>
      <c r="H9" s="1"/>
      <c r="I9" s="505">
        <f>135*Главная!$B$134</f>
        <v>4576.5</v>
      </c>
      <c r="J9" s="505">
        <f>153*Главная!$B$134</f>
        <v>5186.7</v>
      </c>
      <c r="K9" s="505">
        <f>205*Главная!$B$134</f>
        <v>6949.5</v>
      </c>
    </row>
    <row r="10" spans="1:11" ht="12.75">
      <c r="A10" s="505"/>
      <c r="B10" s="202" t="s">
        <v>312</v>
      </c>
      <c r="C10" s="203" t="s">
        <v>645</v>
      </c>
      <c r="D10" s="203" t="s">
        <v>646</v>
      </c>
      <c r="E10" s="204"/>
      <c r="F10" s="204"/>
      <c r="G10" s="204"/>
      <c r="H10" s="204"/>
      <c r="I10" s="505"/>
      <c r="J10" s="505"/>
      <c r="K10" s="505"/>
    </row>
    <row r="11" spans="1:11" ht="12.75">
      <c r="A11" s="505"/>
      <c r="B11" s="205" t="s">
        <v>313</v>
      </c>
      <c r="C11" s="189" t="s">
        <v>645</v>
      </c>
      <c r="D11" s="189"/>
      <c r="E11" s="1"/>
      <c r="F11" s="1"/>
      <c r="G11" s="1"/>
      <c r="H11" s="1"/>
      <c r="I11" s="505"/>
      <c r="J11" s="505"/>
      <c r="K11" s="505"/>
    </row>
    <row r="12" spans="1:11" ht="12.75">
      <c r="A12" s="505"/>
      <c r="B12" s="352" t="s">
        <v>1182</v>
      </c>
      <c r="C12" s="203" t="s">
        <v>645</v>
      </c>
      <c r="D12" s="203" t="s">
        <v>646</v>
      </c>
      <c r="E12" s="204"/>
      <c r="F12" s="204"/>
      <c r="G12" s="204"/>
      <c r="H12" s="204"/>
      <c r="I12" s="505"/>
      <c r="J12" s="505"/>
      <c r="K12" s="505"/>
    </row>
    <row r="13" spans="1:11" ht="12.75">
      <c r="A13" s="505"/>
      <c r="B13" s="345" t="s">
        <v>1187</v>
      </c>
      <c r="C13" s="189" t="s">
        <v>645</v>
      </c>
      <c r="D13" s="189" t="s">
        <v>646</v>
      </c>
      <c r="E13" s="1"/>
      <c r="F13" s="1"/>
      <c r="G13" s="1"/>
      <c r="H13" s="1"/>
      <c r="I13" s="505"/>
      <c r="J13" s="505"/>
      <c r="K13" s="505"/>
    </row>
    <row r="14" spans="1:11" ht="12.75">
      <c r="A14" s="507">
        <v>2</v>
      </c>
      <c r="B14" s="206" t="s">
        <v>307</v>
      </c>
      <c r="C14" s="203"/>
      <c r="D14" s="203" t="s">
        <v>646</v>
      </c>
      <c r="E14" s="204"/>
      <c r="F14" s="204"/>
      <c r="G14" s="204"/>
      <c r="H14" s="204"/>
      <c r="I14" s="507">
        <f>160*Главная!$B$134</f>
        <v>5424</v>
      </c>
      <c r="J14" s="507">
        <f>180*Главная!$B$134</f>
        <v>6102</v>
      </c>
      <c r="K14" s="507">
        <f>240*Главная!$B$134</f>
        <v>8136</v>
      </c>
    </row>
    <row r="15" spans="1:11" ht="12.75">
      <c r="A15" s="507"/>
      <c r="B15" s="207" t="s">
        <v>647</v>
      </c>
      <c r="C15" s="208" t="s">
        <v>645</v>
      </c>
      <c r="D15" s="208" t="s">
        <v>646</v>
      </c>
      <c r="E15" s="4"/>
      <c r="F15" s="4"/>
      <c r="G15" s="4"/>
      <c r="H15" s="4"/>
      <c r="I15" s="507"/>
      <c r="J15" s="507"/>
      <c r="K15" s="507"/>
    </row>
    <row r="16" spans="1:11" ht="12.75">
      <c r="A16" s="507"/>
      <c r="B16" s="206" t="s">
        <v>648</v>
      </c>
      <c r="C16" s="203" t="s">
        <v>645</v>
      </c>
      <c r="D16" s="203" t="s">
        <v>646</v>
      </c>
      <c r="E16" s="204"/>
      <c r="F16" s="204"/>
      <c r="G16" s="204"/>
      <c r="H16" s="204"/>
      <c r="I16" s="507"/>
      <c r="J16" s="507"/>
      <c r="K16" s="507"/>
    </row>
    <row r="17" spans="1:11" ht="12.75">
      <c r="A17" s="507"/>
      <c r="B17" s="410" t="s">
        <v>1188</v>
      </c>
      <c r="C17" s="208"/>
      <c r="D17" s="208" t="s">
        <v>646</v>
      </c>
      <c r="E17" s="4"/>
      <c r="F17" s="4"/>
      <c r="G17" s="4"/>
      <c r="H17" s="4"/>
      <c r="I17" s="507"/>
      <c r="J17" s="507"/>
      <c r="K17" s="507"/>
    </row>
    <row r="18" spans="1:11" ht="12.75">
      <c r="A18" s="507"/>
      <c r="B18" s="346" t="s">
        <v>1189</v>
      </c>
      <c r="C18" s="203" t="s">
        <v>645</v>
      </c>
      <c r="D18" s="203" t="s">
        <v>646</v>
      </c>
      <c r="E18" s="204"/>
      <c r="F18" s="204"/>
      <c r="G18" s="204"/>
      <c r="H18" s="204"/>
      <c r="I18" s="507"/>
      <c r="J18" s="507"/>
      <c r="K18" s="507"/>
    </row>
    <row r="19" spans="1:11" ht="12.75">
      <c r="A19" s="507"/>
      <c r="B19" s="410" t="s">
        <v>1190</v>
      </c>
      <c r="C19" s="208"/>
      <c r="D19" s="208" t="s">
        <v>646</v>
      </c>
      <c r="E19" s="4"/>
      <c r="F19" s="4"/>
      <c r="G19" s="4"/>
      <c r="H19" s="4"/>
      <c r="I19" s="507"/>
      <c r="J19" s="507"/>
      <c r="K19" s="507"/>
    </row>
    <row r="20" spans="1:11" ht="12.75">
      <c r="A20" s="507"/>
      <c r="B20" s="346" t="s">
        <v>649</v>
      </c>
      <c r="C20" s="203"/>
      <c r="D20" s="203" t="s">
        <v>646</v>
      </c>
      <c r="E20" s="204"/>
      <c r="F20" s="204"/>
      <c r="G20" s="204"/>
      <c r="H20" s="204"/>
      <c r="I20" s="507"/>
      <c r="J20" s="507"/>
      <c r="K20" s="507"/>
    </row>
    <row r="21" spans="1:11" ht="12.75">
      <c r="A21" s="507"/>
      <c r="B21" s="207" t="s">
        <v>650</v>
      </c>
      <c r="C21" s="208" t="s">
        <v>645</v>
      </c>
      <c r="D21" s="208" t="s">
        <v>646</v>
      </c>
      <c r="E21" s="4"/>
      <c r="F21" s="4"/>
      <c r="G21" s="4"/>
      <c r="H21" s="4"/>
      <c r="I21" s="507"/>
      <c r="J21" s="507"/>
      <c r="K21" s="507"/>
    </row>
    <row r="22" spans="1:11" ht="12.75">
      <c r="A22" s="507"/>
      <c r="B22" s="206" t="s">
        <v>651</v>
      </c>
      <c r="C22" s="203" t="s">
        <v>645</v>
      </c>
      <c r="D22" s="203" t="s">
        <v>646</v>
      </c>
      <c r="E22" s="204"/>
      <c r="F22" s="204"/>
      <c r="G22" s="204"/>
      <c r="H22" s="204"/>
      <c r="I22" s="507"/>
      <c r="J22" s="507"/>
      <c r="K22" s="507"/>
    </row>
    <row r="23" spans="1:11" ht="12.75">
      <c r="A23" s="507"/>
      <c r="B23" s="207" t="s">
        <v>652</v>
      </c>
      <c r="C23" s="208"/>
      <c r="D23" s="208" t="s">
        <v>646</v>
      </c>
      <c r="E23" s="4"/>
      <c r="F23" s="4"/>
      <c r="G23" s="4"/>
      <c r="H23" s="4"/>
      <c r="I23" s="507"/>
      <c r="J23" s="507"/>
      <c r="K23" s="507"/>
    </row>
    <row r="24" spans="1:11" ht="12.75">
      <c r="A24" s="507"/>
      <c r="B24" s="206" t="s">
        <v>1045</v>
      </c>
      <c r="C24" s="203"/>
      <c r="D24" s="203" t="s">
        <v>646</v>
      </c>
      <c r="E24" s="204"/>
      <c r="F24" s="204"/>
      <c r="G24" s="204"/>
      <c r="H24" s="204"/>
      <c r="I24" s="507"/>
      <c r="J24" s="507"/>
      <c r="K24" s="507"/>
    </row>
    <row r="25" spans="1:11" ht="12.75">
      <c r="A25" s="507"/>
      <c r="B25" s="410" t="s">
        <v>1046</v>
      </c>
      <c r="C25" s="208"/>
      <c r="D25" s="208" t="s">
        <v>646</v>
      </c>
      <c r="E25" s="4"/>
      <c r="F25" s="4"/>
      <c r="G25" s="4"/>
      <c r="H25" s="4"/>
      <c r="I25" s="507"/>
      <c r="J25" s="507"/>
      <c r="K25" s="507"/>
    </row>
    <row r="26" spans="1:11" ht="12.75">
      <c r="A26" s="505">
        <v>3</v>
      </c>
      <c r="B26" s="346" t="s">
        <v>1047</v>
      </c>
      <c r="C26" s="203"/>
      <c r="D26" s="203" t="s">
        <v>646</v>
      </c>
      <c r="E26" s="204"/>
      <c r="F26" s="204"/>
      <c r="G26" s="204"/>
      <c r="H26" s="204"/>
      <c r="I26" s="505">
        <f>175*Главная!$B$134</f>
        <v>5932.5</v>
      </c>
      <c r="J26" s="505">
        <f>195*Главная!$B$134</f>
        <v>6610.5</v>
      </c>
      <c r="K26" s="505">
        <f>265*Главная!$B$134</f>
        <v>8983.5</v>
      </c>
    </row>
    <row r="27" spans="1:11" ht="12.75">
      <c r="A27" s="505"/>
      <c r="B27" s="4" t="s">
        <v>1191</v>
      </c>
      <c r="C27" s="208" t="s">
        <v>645</v>
      </c>
      <c r="D27" s="1"/>
      <c r="E27" s="1"/>
      <c r="F27" s="1"/>
      <c r="G27" s="1"/>
      <c r="H27" s="1"/>
      <c r="I27" s="505"/>
      <c r="J27" s="505"/>
      <c r="K27" s="505"/>
    </row>
    <row r="28" spans="1:11" ht="12.75">
      <c r="A28" s="505"/>
      <c r="B28" s="346" t="s">
        <v>1183</v>
      </c>
      <c r="C28" s="203" t="s">
        <v>645</v>
      </c>
      <c r="D28" s="204"/>
      <c r="E28" s="204"/>
      <c r="F28" s="204"/>
      <c r="G28" s="204"/>
      <c r="H28" s="204"/>
      <c r="I28" s="505"/>
      <c r="J28" s="505"/>
      <c r="K28" s="505"/>
    </row>
    <row r="29" spans="1:11" ht="12.75">
      <c r="A29" s="505"/>
      <c r="B29" s="347" t="s">
        <v>653</v>
      </c>
      <c r="C29" s="348" t="s">
        <v>645</v>
      </c>
      <c r="D29" s="37"/>
      <c r="E29" s="37"/>
      <c r="F29" s="37"/>
      <c r="G29" s="37"/>
      <c r="H29" s="37"/>
      <c r="I29" s="505"/>
      <c r="J29" s="505"/>
      <c r="K29" s="505"/>
    </row>
    <row r="30" spans="1:11" ht="12.75">
      <c r="A30" s="505"/>
      <c r="B30" s="206" t="s">
        <v>308</v>
      </c>
      <c r="C30" s="203"/>
      <c r="D30" s="203" t="s">
        <v>646</v>
      </c>
      <c r="E30" s="204"/>
      <c r="F30" s="204"/>
      <c r="G30" s="204"/>
      <c r="H30" s="204"/>
      <c r="I30" s="505"/>
      <c r="J30" s="505"/>
      <c r="K30" s="505"/>
    </row>
    <row r="31" spans="1:11" ht="12.75">
      <c r="A31" s="505"/>
      <c r="B31" s="347" t="s">
        <v>654</v>
      </c>
      <c r="C31" s="348" t="s">
        <v>645</v>
      </c>
      <c r="D31" s="348" t="s">
        <v>646</v>
      </c>
      <c r="E31" s="37"/>
      <c r="F31" s="37"/>
      <c r="G31" s="37"/>
      <c r="H31" s="37"/>
      <c r="I31" s="505"/>
      <c r="J31" s="505"/>
      <c r="K31" s="505"/>
    </row>
    <row r="32" spans="1:11" ht="12.75">
      <c r="A32" s="505"/>
      <c r="B32" s="346" t="s">
        <v>1192</v>
      </c>
      <c r="C32" s="203"/>
      <c r="D32" s="203" t="s">
        <v>646</v>
      </c>
      <c r="E32" s="204"/>
      <c r="F32" s="204"/>
      <c r="G32" s="204"/>
      <c r="H32" s="204"/>
      <c r="I32" s="505"/>
      <c r="J32" s="505"/>
      <c r="K32" s="505"/>
    </row>
    <row r="33" spans="1:11" ht="12.75">
      <c r="A33" s="505"/>
      <c r="B33" s="4" t="s">
        <v>1048</v>
      </c>
      <c r="C33" s="208" t="s">
        <v>645</v>
      </c>
      <c r="D33" s="1"/>
      <c r="E33" s="1"/>
      <c r="F33" s="1"/>
      <c r="G33" s="1"/>
      <c r="H33" s="1"/>
      <c r="I33" s="505"/>
      <c r="J33" s="505"/>
      <c r="K33" s="505"/>
    </row>
    <row r="34" spans="1:11" ht="12.75">
      <c r="A34" s="505"/>
      <c r="B34" s="204" t="s">
        <v>1193</v>
      </c>
      <c r="C34" s="204"/>
      <c r="D34" s="203" t="s">
        <v>646</v>
      </c>
      <c r="E34" s="204"/>
      <c r="F34" s="204"/>
      <c r="G34" s="204"/>
      <c r="H34" s="204"/>
      <c r="I34" s="505"/>
      <c r="J34" s="505"/>
      <c r="K34" s="505"/>
    </row>
    <row r="35" spans="1:11" ht="12.75">
      <c r="A35" s="505"/>
      <c r="B35" s="4" t="s">
        <v>1194</v>
      </c>
      <c r="C35" s="1"/>
      <c r="D35" s="208" t="s">
        <v>646</v>
      </c>
      <c r="E35" s="1"/>
      <c r="F35" s="1"/>
      <c r="G35" s="1"/>
      <c r="H35" s="1"/>
      <c r="I35" s="505"/>
      <c r="J35" s="505"/>
      <c r="K35" s="505"/>
    </row>
    <row r="36" spans="1:11" ht="12.75">
      <c r="A36" s="505"/>
      <c r="B36" s="204" t="s">
        <v>1195</v>
      </c>
      <c r="C36" s="204"/>
      <c r="D36" s="203" t="s">
        <v>646</v>
      </c>
      <c r="E36" s="204"/>
      <c r="F36" s="204"/>
      <c r="G36" s="204"/>
      <c r="H36" s="204"/>
      <c r="I36" s="505"/>
      <c r="J36" s="505"/>
      <c r="K36" s="505"/>
    </row>
    <row r="37" spans="1:11" ht="12.75">
      <c r="A37" s="505"/>
      <c r="B37" s="4" t="s">
        <v>1196</v>
      </c>
      <c r="C37" s="1"/>
      <c r="D37" s="208" t="s">
        <v>646</v>
      </c>
      <c r="E37" s="1"/>
      <c r="F37" s="1"/>
      <c r="G37" s="1"/>
      <c r="H37" s="1"/>
      <c r="I37" s="505"/>
      <c r="J37" s="505"/>
      <c r="K37" s="505"/>
    </row>
    <row r="38" spans="1:11" ht="12.75">
      <c r="A38" s="505"/>
      <c r="B38" s="206" t="s">
        <v>655</v>
      </c>
      <c r="C38" s="203" t="s">
        <v>645</v>
      </c>
      <c r="D38" s="203" t="s">
        <v>646</v>
      </c>
      <c r="E38" s="204"/>
      <c r="F38" s="204"/>
      <c r="G38" s="204"/>
      <c r="H38" s="204"/>
      <c r="I38" s="505"/>
      <c r="J38" s="505"/>
      <c r="K38" s="505"/>
    </row>
    <row r="39" spans="1:11" ht="12.75">
      <c r="A39" s="505"/>
      <c r="B39" s="4" t="s">
        <v>671</v>
      </c>
      <c r="C39" s="1"/>
      <c r="D39" s="208" t="s">
        <v>646</v>
      </c>
      <c r="E39" s="1"/>
      <c r="F39" s="1"/>
      <c r="G39" s="1"/>
      <c r="H39" s="1"/>
      <c r="I39" s="505"/>
      <c r="J39" s="505"/>
      <c r="K39" s="505"/>
    </row>
    <row r="40" spans="1:11" ht="12.75">
      <c r="A40" s="505"/>
      <c r="B40" s="206" t="s">
        <v>1197</v>
      </c>
      <c r="C40" s="203"/>
      <c r="D40" s="203" t="s">
        <v>646</v>
      </c>
      <c r="E40" s="204"/>
      <c r="F40" s="204"/>
      <c r="G40" s="204"/>
      <c r="H40" s="204"/>
      <c r="I40" s="505"/>
      <c r="J40" s="505"/>
      <c r="K40" s="505"/>
    </row>
    <row r="41" spans="1:11" ht="12.75">
      <c r="A41" s="505"/>
      <c r="B41" s="4" t="s">
        <v>1050</v>
      </c>
      <c r="C41" s="1"/>
      <c r="D41" s="208" t="s">
        <v>646</v>
      </c>
      <c r="E41" s="1"/>
      <c r="F41" s="1"/>
      <c r="G41" s="1"/>
      <c r="H41" s="1"/>
      <c r="I41" s="505"/>
      <c r="J41" s="505"/>
      <c r="K41" s="505"/>
    </row>
    <row r="42" spans="1:11" ht="12.75">
      <c r="A42" s="505"/>
      <c r="B42" s="206" t="s">
        <v>324</v>
      </c>
      <c r="C42" s="203" t="s">
        <v>645</v>
      </c>
      <c r="D42" s="203"/>
      <c r="E42" s="204"/>
      <c r="F42" s="204"/>
      <c r="G42" s="204"/>
      <c r="H42" s="204"/>
      <c r="I42" s="505"/>
      <c r="J42" s="505"/>
      <c r="K42" s="505"/>
    </row>
    <row r="43" spans="1:11" ht="12.75">
      <c r="A43" s="505"/>
      <c r="B43" s="4" t="s">
        <v>656</v>
      </c>
      <c r="C43" s="1"/>
      <c r="D43" s="208" t="s">
        <v>646</v>
      </c>
      <c r="E43" s="1"/>
      <c r="F43" s="1"/>
      <c r="G43" s="1"/>
      <c r="H43" s="1"/>
      <c r="I43" s="505"/>
      <c r="J43" s="505"/>
      <c r="K43" s="505"/>
    </row>
    <row r="44" spans="1:11" ht="12.75">
      <c r="A44" s="505"/>
      <c r="B44" s="206" t="s">
        <v>657</v>
      </c>
      <c r="C44" s="203" t="s">
        <v>645</v>
      </c>
      <c r="D44" s="203" t="s">
        <v>646</v>
      </c>
      <c r="E44" s="204"/>
      <c r="F44" s="204"/>
      <c r="G44" s="204"/>
      <c r="H44" s="204"/>
      <c r="I44" s="505"/>
      <c r="J44" s="505"/>
      <c r="K44" s="505"/>
    </row>
    <row r="45" spans="1:11" ht="12.75">
      <c r="A45" s="505"/>
      <c r="B45" s="4" t="s">
        <v>1198</v>
      </c>
      <c r="C45" s="189" t="s">
        <v>645</v>
      </c>
      <c r="D45" s="208"/>
      <c r="E45" s="1"/>
      <c r="F45" s="1"/>
      <c r="G45" s="1"/>
      <c r="H45" s="1"/>
      <c r="I45" s="505"/>
      <c r="J45" s="505"/>
      <c r="K45" s="505"/>
    </row>
    <row r="46" spans="1:11" ht="12.75">
      <c r="A46" s="507">
        <v>4</v>
      </c>
      <c r="B46" s="346" t="s">
        <v>1049</v>
      </c>
      <c r="C46" s="203"/>
      <c r="D46" s="203" t="s">
        <v>646</v>
      </c>
      <c r="E46" s="204"/>
      <c r="F46" s="204"/>
      <c r="G46" s="204"/>
      <c r="H46" s="204"/>
      <c r="I46" s="507">
        <f>200*Главная!$B$134</f>
        <v>6780</v>
      </c>
      <c r="J46" s="507">
        <f>252*Главная!$B$134</f>
        <v>8542.8</v>
      </c>
      <c r="K46" s="507">
        <f>355*Главная!$B$134</f>
        <v>12034.5</v>
      </c>
    </row>
    <row r="47" spans="1:11" ht="12.75">
      <c r="A47" s="507"/>
      <c r="B47" s="4" t="s">
        <v>1053</v>
      </c>
      <c r="C47" s="189" t="s">
        <v>645</v>
      </c>
      <c r="D47" s="208"/>
      <c r="E47" s="1"/>
      <c r="F47" s="1"/>
      <c r="G47" s="1"/>
      <c r="H47" s="1"/>
      <c r="I47" s="507"/>
      <c r="J47" s="507"/>
      <c r="K47" s="507"/>
    </row>
    <row r="48" spans="1:11" ht="12.75">
      <c r="A48" s="507"/>
      <c r="B48" s="346" t="s">
        <v>658</v>
      </c>
      <c r="C48" s="203" t="s">
        <v>645</v>
      </c>
      <c r="D48" s="203" t="s">
        <v>646</v>
      </c>
      <c r="E48" s="204"/>
      <c r="F48" s="204"/>
      <c r="G48" s="204"/>
      <c r="H48" s="204"/>
      <c r="I48" s="507"/>
      <c r="J48" s="507"/>
      <c r="K48" s="507"/>
    </row>
    <row r="49" spans="1:11" ht="12.75">
      <c r="A49" s="507"/>
      <c r="B49" s="4" t="s">
        <v>659</v>
      </c>
      <c r="C49" s="189"/>
      <c r="D49" s="208" t="s">
        <v>646</v>
      </c>
      <c r="E49" s="1"/>
      <c r="F49" s="1"/>
      <c r="G49" s="1"/>
      <c r="H49" s="1"/>
      <c r="I49" s="507"/>
      <c r="J49" s="507"/>
      <c r="K49" s="507"/>
    </row>
    <row r="50" spans="1:11" ht="12.75">
      <c r="A50" s="507"/>
      <c r="B50" s="346" t="s">
        <v>660</v>
      </c>
      <c r="C50" s="203"/>
      <c r="D50" s="203" t="s">
        <v>646</v>
      </c>
      <c r="E50" s="204"/>
      <c r="F50" s="204"/>
      <c r="G50" s="204"/>
      <c r="H50" s="204"/>
      <c r="I50" s="507"/>
      <c r="J50" s="507"/>
      <c r="K50" s="507"/>
    </row>
    <row r="51" spans="1:11" ht="12.75">
      <c r="A51" s="507"/>
      <c r="B51" s="4" t="s">
        <v>1199</v>
      </c>
      <c r="C51" s="189"/>
      <c r="D51" s="208" t="s">
        <v>646</v>
      </c>
      <c r="E51" s="1"/>
      <c r="F51" s="1"/>
      <c r="G51" s="1"/>
      <c r="H51" s="1"/>
      <c r="I51" s="507"/>
      <c r="J51" s="507"/>
      <c r="K51" s="507"/>
    </row>
    <row r="52" spans="1:11" ht="12.75">
      <c r="A52" s="507"/>
      <c r="B52" s="346" t="s">
        <v>665</v>
      </c>
      <c r="C52" s="203"/>
      <c r="D52" s="203" t="s">
        <v>646</v>
      </c>
      <c r="E52" s="204"/>
      <c r="F52" s="204"/>
      <c r="G52" s="204"/>
      <c r="H52" s="204"/>
      <c r="I52" s="507"/>
      <c r="J52" s="507"/>
      <c r="K52" s="507"/>
    </row>
    <row r="53" spans="1:11" ht="12.75">
      <c r="A53" s="507"/>
      <c r="B53" s="4" t="s">
        <v>1184</v>
      </c>
      <c r="C53" s="189"/>
      <c r="D53" s="208" t="s">
        <v>646</v>
      </c>
      <c r="E53" s="1"/>
      <c r="F53" s="1"/>
      <c r="G53" s="1"/>
      <c r="H53" s="1"/>
      <c r="I53" s="507"/>
      <c r="J53" s="507"/>
      <c r="K53" s="507"/>
    </row>
    <row r="54" spans="1:11" ht="12.75">
      <c r="A54" s="507"/>
      <c r="B54" s="346" t="s">
        <v>1200</v>
      </c>
      <c r="C54" s="203"/>
      <c r="D54" s="203" t="s">
        <v>646</v>
      </c>
      <c r="E54" s="204"/>
      <c r="F54" s="204"/>
      <c r="G54" s="204"/>
      <c r="H54" s="204"/>
      <c r="I54" s="507"/>
      <c r="J54" s="507"/>
      <c r="K54" s="507"/>
    </row>
    <row r="55" spans="1:11" ht="12.75">
      <c r="A55" s="507"/>
      <c r="B55" s="4" t="s">
        <v>661</v>
      </c>
      <c r="C55" s="189"/>
      <c r="D55" s="208" t="s">
        <v>646</v>
      </c>
      <c r="E55" s="1"/>
      <c r="F55" s="1"/>
      <c r="G55" s="1"/>
      <c r="H55" s="1"/>
      <c r="I55" s="507"/>
      <c r="J55" s="507"/>
      <c r="K55" s="507"/>
    </row>
    <row r="56" spans="1:11" ht="12.75">
      <c r="A56" s="507"/>
      <c r="B56" s="346" t="s">
        <v>1201</v>
      </c>
      <c r="C56" s="203"/>
      <c r="D56" s="203" t="s">
        <v>646</v>
      </c>
      <c r="E56" s="204"/>
      <c r="F56" s="204"/>
      <c r="G56" s="204"/>
      <c r="H56" s="204"/>
      <c r="I56" s="507"/>
      <c r="J56" s="507"/>
      <c r="K56" s="507"/>
    </row>
    <row r="57" spans="1:11" ht="12.75">
      <c r="A57" s="507"/>
      <c r="B57" s="4" t="s">
        <v>1202</v>
      </c>
      <c r="C57" s="189" t="s">
        <v>645</v>
      </c>
      <c r="D57" s="208" t="s">
        <v>646</v>
      </c>
      <c r="E57" s="1"/>
      <c r="F57" s="1"/>
      <c r="G57" s="1"/>
      <c r="H57" s="1"/>
      <c r="I57" s="507"/>
      <c r="J57" s="507"/>
      <c r="K57" s="507"/>
    </row>
    <row r="58" spans="1:11" ht="12.75">
      <c r="A58" s="507"/>
      <c r="B58" s="346" t="s">
        <v>662</v>
      </c>
      <c r="C58" s="203"/>
      <c r="D58" s="203" t="s">
        <v>646</v>
      </c>
      <c r="E58" s="204"/>
      <c r="F58" s="204"/>
      <c r="G58" s="204"/>
      <c r="H58" s="204"/>
      <c r="I58" s="507"/>
      <c r="J58" s="507"/>
      <c r="K58" s="507"/>
    </row>
    <row r="59" spans="1:11" ht="12.75">
      <c r="A59" s="507"/>
      <c r="B59" s="4" t="s">
        <v>1203</v>
      </c>
      <c r="C59" s="189" t="s">
        <v>645</v>
      </c>
      <c r="D59" s="208" t="s">
        <v>646</v>
      </c>
      <c r="E59" s="1"/>
      <c r="F59" s="1"/>
      <c r="G59" s="1"/>
      <c r="H59" s="1"/>
      <c r="I59" s="507"/>
      <c r="J59" s="507"/>
      <c r="K59" s="507"/>
    </row>
    <row r="60" spans="1:11" ht="12.75">
      <c r="A60" s="507"/>
      <c r="B60" s="346" t="s">
        <v>1204</v>
      </c>
      <c r="C60" s="203" t="s">
        <v>645</v>
      </c>
      <c r="D60" s="203"/>
      <c r="E60" s="204"/>
      <c r="F60" s="204"/>
      <c r="G60" s="204"/>
      <c r="H60" s="204"/>
      <c r="I60" s="507"/>
      <c r="J60" s="507"/>
      <c r="K60" s="507"/>
    </row>
    <row r="61" spans="1:11" ht="12.75">
      <c r="A61" s="507"/>
      <c r="B61" s="4" t="s">
        <v>1205</v>
      </c>
      <c r="C61" s="189"/>
      <c r="D61" s="208" t="s">
        <v>646</v>
      </c>
      <c r="E61" s="1"/>
      <c r="F61" s="1"/>
      <c r="G61" s="1"/>
      <c r="H61" s="1"/>
      <c r="I61" s="507"/>
      <c r="J61" s="507"/>
      <c r="K61" s="507"/>
    </row>
    <row r="62" spans="1:11" ht="12.75">
      <c r="A62" s="507"/>
      <c r="B62" s="346" t="s">
        <v>1185</v>
      </c>
      <c r="C62" s="203"/>
      <c r="D62" s="203" t="s">
        <v>646</v>
      </c>
      <c r="E62" s="204"/>
      <c r="F62" s="204"/>
      <c r="G62" s="204"/>
      <c r="H62" s="204"/>
      <c r="I62" s="507"/>
      <c r="J62" s="507"/>
      <c r="K62" s="507"/>
    </row>
    <row r="63" spans="1:11" ht="12.75">
      <c r="A63" s="507"/>
      <c r="B63" s="4" t="s">
        <v>1206</v>
      </c>
      <c r="C63" s="189"/>
      <c r="D63" s="208" t="s">
        <v>646</v>
      </c>
      <c r="E63" s="1"/>
      <c r="F63" s="1"/>
      <c r="G63" s="1"/>
      <c r="H63" s="1"/>
      <c r="I63" s="507"/>
      <c r="J63" s="507"/>
      <c r="K63" s="507"/>
    </row>
    <row r="64" spans="1:11" ht="12.75">
      <c r="A64" s="507"/>
      <c r="B64" s="346" t="s">
        <v>1207</v>
      </c>
      <c r="C64" s="203"/>
      <c r="D64" s="203" t="s">
        <v>646</v>
      </c>
      <c r="E64" s="204"/>
      <c r="F64" s="204"/>
      <c r="G64" s="204"/>
      <c r="H64" s="204"/>
      <c r="I64" s="507"/>
      <c r="J64" s="507"/>
      <c r="K64" s="507"/>
    </row>
    <row r="65" spans="1:11" ht="12.75">
      <c r="A65" s="507"/>
      <c r="B65" s="4" t="s">
        <v>1051</v>
      </c>
      <c r="C65" s="189" t="s">
        <v>645</v>
      </c>
      <c r="D65" s="208"/>
      <c r="E65" s="1"/>
      <c r="F65" s="1"/>
      <c r="G65" s="1"/>
      <c r="H65" s="1"/>
      <c r="I65" s="507"/>
      <c r="J65" s="507"/>
      <c r="K65" s="507"/>
    </row>
    <row r="66" spans="1:11" ht="12.75">
      <c r="A66" s="507"/>
      <c r="B66" s="204" t="s">
        <v>1052</v>
      </c>
      <c r="C66" s="203"/>
      <c r="D66" s="203" t="s">
        <v>646</v>
      </c>
      <c r="E66" s="204"/>
      <c r="F66" s="204"/>
      <c r="G66" s="204"/>
      <c r="H66" s="204"/>
      <c r="I66" s="507"/>
      <c r="J66" s="507"/>
      <c r="K66" s="507"/>
    </row>
    <row r="67" spans="1:11" ht="12.75">
      <c r="A67" s="505">
        <v>5</v>
      </c>
      <c r="B67" s="4" t="s">
        <v>663</v>
      </c>
      <c r="C67" s="189"/>
      <c r="D67" s="208" t="s">
        <v>646</v>
      </c>
      <c r="E67" s="1"/>
      <c r="F67" s="1"/>
      <c r="G67" s="1"/>
      <c r="H67" s="1"/>
      <c r="I67" s="506">
        <f>225*Главная!$B$134</f>
        <v>7627.5</v>
      </c>
      <c r="J67" s="506">
        <f>280*Главная!$B$134</f>
        <v>9492</v>
      </c>
      <c r="K67" s="506">
        <f>375*Главная!$B$134</f>
        <v>12712.5</v>
      </c>
    </row>
    <row r="68" spans="1:11" ht="12.75">
      <c r="A68" s="505"/>
      <c r="B68" s="204" t="s">
        <v>1054</v>
      </c>
      <c r="C68" s="203"/>
      <c r="D68" s="203" t="s">
        <v>646</v>
      </c>
      <c r="E68" s="204"/>
      <c r="F68" s="204"/>
      <c r="G68" s="204"/>
      <c r="H68" s="204"/>
      <c r="I68" s="506"/>
      <c r="J68" s="506"/>
      <c r="K68" s="506"/>
    </row>
    <row r="69" spans="1:11" ht="12.75">
      <c r="A69" s="505"/>
      <c r="B69" s="4" t="s">
        <v>1208</v>
      </c>
      <c r="C69" s="189"/>
      <c r="D69" s="208" t="s">
        <v>646</v>
      </c>
      <c r="E69" s="1"/>
      <c r="F69" s="1"/>
      <c r="G69" s="1"/>
      <c r="H69" s="1"/>
      <c r="I69" s="506"/>
      <c r="J69" s="506"/>
      <c r="K69" s="506"/>
    </row>
    <row r="70" spans="1:11" ht="12.75">
      <c r="A70" s="505"/>
      <c r="B70" s="204" t="s">
        <v>1209</v>
      </c>
      <c r="C70" s="203"/>
      <c r="D70" s="203" t="s">
        <v>646</v>
      </c>
      <c r="E70" s="204"/>
      <c r="F70" s="204"/>
      <c r="G70" s="204"/>
      <c r="H70" s="204"/>
      <c r="I70" s="506"/>
      <c r="J70" s="506"/>
      <c r="K70" s="506"/>
    </row>
    <row r="71" spans="1:11" ht="12.75">
      <c r="A71" s="505"/>
      <c r="B71" s="4" t="s">
        <v>1210</v>
      </c>
      <c r="C71" s="189"/>
      <c r="D71" s="208" t="s">
        <v>646</v>
      </c>
      <c r="E71" s="1"/>
      <c r="F71" s="1"/>
      <c r="G71" s="1"/>
      <c r="H71" s="1"/>
      <c r="I71" s="506"/>
      <c r="J71" s="506"/>
      <c r="K71" s="506"/>
    </row>
    <row r="72" spans="1:11" ht="12.75">
      <c r="A72" s="505"/>
      <c r="B72" s="204" t="s">
        <v>1211</v>
      </c>
      <c r="C72" s="203"/>
      <c r="D72" s="203" t="s">
        <v>646</v>
      </c>
      <c r="E72" s="204"/>
      <c r="F72" s="204"/>
      <c r="G72" s="204"/>
      <c r="H72" s="204"/>
      <c r="I72" s="506"/>
      <c r="J72" s="506"/>
      <c r="K72" s="506"/>
    </row>
    <row r="73" spans="1:11" ht="12.75">
      <c r="A73" s="505"/>
      <c r="B73" s="4" t="s">
        <v>1212</v>
      </c>
      <c r="C73" s="189"/>
      <c r="D73" s="208" t="s">
        <v>646</v>
      </c>
      <c r="E73" s="1"/>
      <c r="F73" s="1"/>
      <c r="G73" s="1"/>
      <c r="H73" s="1"/>
      <c r="I73" s="506"/>
      <c r="J73" s="506"/>
      <c r="K73" s="506"/>
    </row>
    <row r="74" spans="1:11" ht="12.75">
      <c r="A74" s="505"/>
      <c r="B74" s="204" t="s">
        <v>664</v>
      </c>
      <c r="C74" s="203"/>
      <c r="D74" s="203" t="s">
        <v>646</v>
      </c>
      <c r="E74" s="204"/>
      <c r="F74" s="204"/>
      <c r="G74" s="204"/>
      <c r="H74" s="204"/>
      <c r="I74" s="506"/>
      <c r="J74" s="506"/>
      <c r="K74" s="506"/>
    </row>
    <row r="75" spans="1:11" ht="12.75">
      <c r="A75" s="505"/>
      <c r="B75" s="4" t="s">
        <v>666</v>
      </c>
      <c r="C75" s="189"/>
      <c r="D75" s="208" t="s">
        <v>646</v>
      </c>
      <c r="E75" s="1"/>
      <c r="F75" s="1"/>
      <c r="G75" s="1"/>
      <c r="H75" s="1"/>
      <c r="I75" s="506"/>
      <c r="J75" s="506"/>
      <c r="K75" s="506"/>
    </row>
    <row r="76" spans="1:11" ht="12.75">
      <c r="A76" s="505"/>
      <c r="B76" s="204" t="s">
        <v>1055</v>
      </c>
      <c r="C76" s="203"/>
      <c r="D76" s="203" t="s">
        <v>646</v>
      </c>
      <c r="E76" s="204"/>
      <c r="F76" s="204"/>
      <c r="G76" s="204"/>
      <c r="H76" s="204"/>
      <c r="I76" s="506"/>
      <c r="J76" s="506"/>
      <c r="K76" s="506"/>
    </row>
    <row r="77" spans="1:11" ht="12.75">
      <c r="A77" s="505"/>
      <c r="B77" s="4" t="s">
        <v>667</v>
      </c>
      <c r="C77" s="189"/>
      <c r="D77" s="208" t="s">
        <v>646</v>
      </c>
      <c r="E77" s="349"/>
      <c r="F77" s="349"/>
      <c r="G77" s="1"/>
      <c r="H77" s="1"/>
      <c r="I77" s="506"/>
      <c r="J77" s="506"/>
      <c r="K77" s="506"/>
    </row>
    <row r="78" spans="1:11" ht="12.75">
      <c r="A78" s="505"/>
      <c r="B78" s="204" t="s">
        <v>668</v>
      </c>
      <c r="C78" s="203"/>
      <c r="D78" s="203" t="s">
        <v>646</v>
      </c>
      <c r="E78" s="204"/>
      <c r="F78" s="204"/>
      <c r="G78" s="204"/>
      <c r="H78" s="204"/>
      <c r="I78" s="506"/>
      <c r="J78" s="506"/>
      <c r="K78" s="506"/>
    </row>
    <row r="79" spans="1:11" ht="12.75">
      <c r="A79" s="505"/>
      <c r="B79" s="4" t="s">
        <v>669</v>
      </c>
      <c r="C79" s="189"/>
      <c r="D79" s="208" t="s">
        <v>646</v>
      </c>
      <c r="E79" s="349"/>
      <c r="F79" s="349"/>
      <c r="G79" s="1"/>
      <c r="H79" s="1"/>
      <c r="I79" s="506"/>
      <c r="J79" s="506"/>
      <c r="K79" s="506"/>
    </row>
    <row r="80" spans="1:11" ht="12.75">
      <c r="A80" s="505"/>
      <c r="B80" s="204" t="s">
        <v>670</v>
      </c>
      <c r="C80" s="203"/>
      <c r="D80" s="203" t="s">
        <v>646</v>
      </c>
      <c r="E80" s="204"/>
      <c r="F80" s="204"/>
      <c r="G80" s="204"/>
      <c r="H80" s="204"/>
      <c r="I80" s="506"/>
      <c r="J80" s="506"/>
      <c r="K80" s="506"/>
    </row>
    <row r="81" spans="1:11" ht="12.75">
      <c r="A81" s="505"/>
      <c r="B81" s="4" t="s">
        <v>1056</v>
      </c>
      <c r="C81" s="189"/>
      <c r="D81" s="208" t="s">
        <v>646</v>
      </c>
      <c r="E81" s="1"/>
      <c r="F81" s="1"/>
      <c r="G81" s="1"/>
      <c r="H81" s="1"/>
      <c r="I81" s="506"/>
      <c r="J81" s="506"/>
      <c r="K81" s="506"/>
    </row>
    <row r="82" spans="1:11" ht="12.75">
      <c r="A82" s="507">
        <v>6</v>
      </c>
      <c r="B82" s="204" t="s">
        <v>1213</v>
      </c>
      <c r="C82" s="203"/>
      <c r="D82" s="203" t="s">
        <v>646</v>
      </c>
      <c r="E82" s="204"/>
      <c r="F82" s="204"/>
      <c r="G82" s="204"/>
      <c r="H82" s="204"/>
      <c r="I82" s="507">
        <f>265*Главная!$B$134</f>
        <v>8983.5</v>
      </c>
      <c r="J82" s="507">
        <f>340*Главная!$B$134</f>
        <v>11526</v>
      </c>
      <c r="K82" s="507">
        <f>470*Главная!$B$134</f>
        <v>15933</v>
      </c>
    </row>
    <row r="83" spans="1:11" ht="12.75">
      <c r="A83" s="507"/>
      <c r="B83" s="4" t="s">
        <v>672</v>
      </c>
      <c r="C83" s="189"/>
      <c r="D83" s="208" t="s">
        <v>646</v>
      </c>
      <c r="E83" s="1"/>
      <c r="F83" s="1"/>
      <c r="G83" s="1"/>
      <c r="H83" s="1"/>
      <c r="I83" s="507"/>
      <c r="J83" s="507"/>
      <c r="K83" s="507"/>
    </row>
    <row r="84" spans="1:11" ht="12.75">
      <c r="A84" s="507"/>
      <c r="B84" s="346" t="s">
        <v>1214</v>
      </c>
      <c r="C84" s="204"/>
      <c r="D84" s="203" t="s">
        <v>646</v>
      </c>
      <c r="E84" s="204"/>
      <c r="F84" s="204"/>
      <c r="G84" s="204"/>
      <c r="H84" s="204"/>
      <c r="I84" s="507"/>
      <c r="J84" s="507"/>
      <c r="K84" s="507"/>
    </row>
    <row r="85" spans="1:11" ht="12.75">
      <c r="A85" s="507"/>
      <c r="B85" s="4" t="s">
        <v>1215</v>
      </c>
      <c r="C85" s="189"/>
      <c r="D85" s="208" t="s">
        <v>646</v>
      </c>
      <c r="E85" s="1"/>
      <c r="F85" s="1"/>
      <c r="G85" s="1"/>
      <c r="H85" s="1"/>
      <c r="I85" s="507"/>
      <c r="J85" s="507"/>
      <c r="K85" s="507"/>
    </row>
    <row r="86" ht="12.75">
      <c r="J86"/>
    </row>
    <row r="87" spans="2:11" ht="12.75">
      <c r="B87" s="288" t="s">
        <v>1057</v>
      </c>
      <c r="C87" s="288"/>
      <c r="D87" s="288"/>
      <c r="E87" s="288"/>
      <c r="F87" s="288"/>
      <c r="G87" s="288"/>
      <c r="H87" s="288"/>
      <c r="I87" s="288"/>
      <c r="J87" s="288"/>
      <c r="K87" s="288"/>
    </row>
    <row r="88" spans="2:11" ht="12.75">
      <c r="B88" s="288"/>
      <c r="C88" s="288"/>
      <c r="D88" s="288"/>
      <c r="E88" s="288"/>
      <c r="F88" s="288"/>
      <c r="G88" s="288"/>
      <c r="H88" s="288"/>
      <c r="I88" s="288"/>
      <c r="J88" s="288"/>
      <c r="K88" s="288"/>
    </row>
    <row r="89" spans="2:10" ht="12.75">
      <c r="B89" s="209" t="s">
        <v>673</v>
      </c>
      <c r="J89"/>
    </row>
    <row r="90" spans="2:10" ht="12.75">
      <c r="B90" s="146" t="s">
        <v>674</v>
      </c>
      <c r="J90"/>
    </row>
    <row r="91" spans="2:10" ht="12.75">
      <c r="B91" t="s">
        <v>1058</v>
      </c>
      <c r="J91"/>
    </row>
    <row r="92" ht="12.75">
      <c r="J92"/>
    </row>
    <row r="93" spans="2:10" ht="12.75">
      <c r="B93" s="210" t="s">
        <v>675</v>
      </c>
      <c r="J93"/>
    </row>
    <row r="94" spans="2:10" ht="12.75">
      <c r="B94" t="s">
        <v>676</v>
      </c>
      <c r="J94"/>
    </row>
    <row r="95" spans="2:10" ht="12.75">
      <c r="B95" s="211" t="s">
        <v>677</v>
      </c>
      <c r="J95"/>
    </row>
    <row r="96" spans="2:10" ht="12.75">
      <c r="B96" s="200" t="s">
        <v>678</v>
      </c>
      <c r="J96"/>
    </row>
    <row r="97" ht="12.75">
      <c r="J97"/>
    </row>
    <row r="98" ht="12.75">
      <c r="J98"/>
    </row>
    <row r="99" spans="2:10" ht="12.75">
      <c r="B99" s="501" t="s">
        <v>37</v>
      </c>
      <c r="C99" s="501" t="s">
        <v>177</v>
      </c>
      <c r="D99" s="501"/>
      <c r="E99" s="501"/>
      <c r="F99" s="501"/>
      <c r="G99" s="501"/>
      <c r="H99" s="501"/>
      <c r="J99"/>
    </row>
    <row r="100" spans="1:10" ht="12.75">
      <c r="A100" s="160"/>
      <c r="B100" s="501"/>
      <c r="C100" s="501" t="s">
        <v>178</v>
      </c>
      <c r="D100" s="501"/>
      <c r="E100" s="501"/>
      <c r="F100" s="501"/>
      <c r="G100" s="501"/>
      <c r="H100" s="501"/>
      <c r="J100"/>
    </row>
    <row r="101" spans="1:10" ht="12.75">
      <c r="A101" s="502"/>
      <c r="B101" s="502"/>
      <c r="C101" s="502"/>
      <c r="D101" s="502"/>
      <c r="J101"/>
    </row>
    <row r="102" spans="2:10" ht="12.75">
      <c r="B102" s="503" t="s">
        <v>38</v>
      </c>
      <c r="C102" s="501" t="s">
        <v>34</v>
      </c>
      <c r="D102" s="501"/>
      <c r="E102" s="24" t="s">
        <v>39</v>
      </c>
      <c r="J102"/>
    </row>
    <row r="103" spans="1:10" ht="12.75">
      <c r="A103" s="26"/>
      <c r="B103" s="503"/>
      <c r="C103" s="501" t="s">
        <v>35</v>
      </c>
      <c r="D103" s="501"/>
      <c r="E103" s="24" t="s">
        <v>40</v>
      </c>
      <c r="J103"/>
    </row>
    <row r="104" spans="1:10" ht="12.75" customHeight="1">
      <c r="A104" s="26"/>
      <c r="B104" s="503"/>
      <c r="C104" s="501" t="s">
        <v>36</v>
      </c>
      <c r="D104" s="501"/>
      <c r="E104" s="24" t="s">
        <v>41</v>
      </c>
      <c r="J104"/>
    </row>
    <row r="105" ht="12.75" customHeight="1">
      <c r="J105"/>
    </row>
    <row r="106" ht="12.75">
      <c r="J106"/>
    </row>
    <row r="107" ht="12.75">
      <c r="J107"/>
    </row>
    <row r="108" ht="12.75">
      <c r="J108"/>
    </row>
    <row r="109" ht="12.75" customHeight="1">
      <c r="J109"/>
    </row>
    <row r="110" ht="12.75" customHeight="1">
      <c r="J110"/>
    </row>
    <row r="111" ht="12.75">
      <c r="J111"/>
    </row>
    <row r="112" ht="14.25" customHeight="1">
      <c r="J112"/>
    </row>
    <row r="113" ht="12.75" customHeight="1">
      <c r="J113"/>
    </row>
    <row r="114" ht="25.5" customHeight="1">
      <c r="J114"/>
    </row>
    <row r="115" ht="12.75">
      <c r="J115"/>
    </row>
    <row r="116" ht="12.75">
      <c r="J116"/>
    </row>
    <row r="117" ht="12.75">
      <c r="J117"/>
    </row>
  </sheetData>
  <sheetProtection/>
  <mergeCells count="37">
    <mergeCell ref="A82:A85"/>
    <mergeCell ref="I82:I85"/>
    <mergeCell ref="J82:J85"/>
    <mergeCell ref="K82:K85"/>
    <mergeCell ref="A46:A66"/>
    <mergeCell ref="I46:I66"/>
    <mergeCell ref="J46:J66"/>
    <mergeCell ref="K46:K66"/>
    <mergeCell ref="A67:A81"/>
    <mergeCell ref="I67:I81"/>
    <mergeCell ref="J67:J81"/>
    <mergeCell ref="K67:K81"/>
    <mergeCell ref="A9:A13"/>
    <mergeCell ref="I9:I13"/>
    <mergeCell ref="J9:J13"/>
    <mergeCell ref="K9:K13"/>
    <mergeCell ref="A14:A25"/>
    <mergeCell ref="I14:I25"/>
    <mergeCell ref="J14:J25"/>
    <mergeCell ref="K14:K25"/>
    <mergeCell ref="A7:A8"/>
    <mergeCell ref="B7:B8"/>
    <mergeCell ref="C7:D8"/>
    <mergeCell ref="E7:H7"/>
    <mergeCell ref="I7:K7"/>
    <mergeCell ref="A26:A45"/>
    <mergeCell ref="I26:I45"/>
    <mergeCell ref="J26:J45"/>
    <mergeCell ref="K26:K45"/>
    <mergeCell ref="B99:B100"/>
    <mergeCell ref="C99:H99"/>
    <mergeCell ref="C100:H100"/>
    <mergeCell ref="A101:D101"/>
    <mergeCell ref="B102:B104"/>
    <mergeCell ref="C102:D102"/>
    <mergeCell ref="C103:D103"/>
    <mergeCell ref="C104:D104"/>
  </mergeCells>
  <printOptions/>
  <pageMargins left="0.11811023622047245" right="0.07874015748031496" top="0.740625" bottom="0.15748031496062992" header="0.11811023622047245" footer="0.07874015748031496"/>
  <pageSetup fitToHeight="2" fitToWidth="1" horizontalDpi="600" verticalDpi="600" orientation="portrait" paperSize="9" scale="91" r:id="rId3"/>
  <headerFooter>
    <oddHeader>&amp;C&amp;G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view="pageBreakPreview" zoomScaleSheetLayoutView="100" zoomScalePageLayoutView="0" workbookViewId="0" topLeftCell="A1">
      <pane ySplit="1" topLeftCell="A8" activePane="bottomLeft" state="frozen"/>
      <selection pane="topLeft" activeCell="H23" sqref="H23"/>
      <selection pane="bottomLeft" activeCell="F33" sqref="F33"/>
    </sheetView>
  </sheetViews>
  <sheetFormatPr defaultColWidth="9.00390625" defaultRowHeight="12.75"/>
  <cols>
    <col min="1" max="1" width="10.50390625" style="0" customWidth="1"/>
    <col min="2" max="2" width="18.50390625" style="0" customWidth="1"/>
    <col min="3" max="3" width="19.50390625" style="0" customWidth="1"/>
    <col min="4" max="4" width="19.875" style="0" customWidth="1"/>
    <col min="5" max="5" width="20.50390625" style="0" customWidth="1"/>
    <col min="6" max="6" width="21.00390625" style="0" customWidth="1"/>
    <col min="7" max="7" width="27.875" style="0" customWidth="1"/>
  </cols>
  <sheetData>
    <row r="1" spans="1:7" ht="12.75">
      <c r="A1" s="434"/>
      <c r="B1" s="434"/>
      <c r="C1" s="434"/>
      <c r="D1" s="434"/>
      <c r="E1" s="434"/>
      <c r="F1" s="434"/>
      <c r="G1" s="434"/>
    </row>
    <row r="2" spans="1:7" ht="12.75" customHeight="1">
      <c r="A2" s="510">
        <f>Главная!B2</f>
        <v>0</v>
      </c>
      <c r="B2" s="510"/>
      <c r="C2" s="22" t="s">
        <v>11</v>
      </c>
      <c r="D2" s="26"/>
      <c r="E2" s="26"/>
      <c r="F2" s="26"/>
      <c r="G2" s="192" t="s">
        <v>256</v>
      </c>
    </row>
    <row r="3" spans="1:7" ht="36" customHeight="1">
      <c r="A3" s="511" t="s">
        <v>153</v>
      </c>
      <c r="B3" s="511"/>
      <c r="C3" s="511"/>
      <c r="D3" s="511"/>
      <c r="E3" s="434"/>
      <c r="F3" s="434"/>
      <c r="G3" s="434"/>
    </row>
    <row r="4" spans="1:7" ht="17.25" customHeight="1">
      <c r="A4" s="513" t="s">
        <v>26</v>
      </c>
      <c r="B4" s="513"/>
      <c r="C4" s="513"/>
      <c r="D4" s="513"/>
      <c r="E4" s="434"/>
      <c r="F4" s="434"/>
      <c r="G4" s="434"/>
    </row>
    <row r="5" spans="1:7" ht="17.25" customHeight="1">
      <c r="A5" s="514" t="s">
        <v>175</v>
      </c>
      <c r="B5" s="515"/>
      <c r="C5" s="515"/>
      <c r="D5" s="515"/>
      <c r="E5" s="434"/>
      <c r="F5" s="434"/>
      <c r="G5" s="434"/>
    </row>
    <row r="6" spans="1:7" ht="11.25" customHeight="1">
      <c r="A6" s="512"/>
      <c r="B6" s="512"/>
      <c r="C6" s="512"/>
      <c r="D6" s="512"/>
      <c r="E6" s="434"/>
      <c r="F6" s="434"/>
      <c r="G6" s="434"/>
    </row>
    <row r="7" spans="2:7" ht="8.25" customHeight="1">
      <c r="B7" s="434"/>
      <c r="C7" s="434"/>
      <c r="D7" s="434"/>
      <c r="E7" s="434"/>
      <c r="F7" s="434"/>
      <c r="G7" s="434"/>
    </row>
    <row r="8" spans="1:7" ht="20.25" customHeight="1">
      <c r="A8" s="509" t="s">
        <v>280</v>
      </c>
      <c r="B8" s="509"/>
      <c r="C8" s="509"/>
      <c r="D8" s="509"/>
      <c r="E8" s="509"/>
      <c r="F8" s="509"/>
      <c r="G8" s="509"/>
    </row>
    <row r="9" spans="1:7" ht="18" customHeight="1" thickBot="1">
      <c r="A9" s="434"/>
      <c r="B9" s="434"/>
      <c r="C9" s="434"/>
      <c r="D9" s="434"/>
      <c r="E9" s="434"/>
      <c r="F9" s="434"/>
      <c r="G9" s="434"/>
    </row>
    <row r="10" spans="1:7" ht="15" customHeight="1" thickBot="1">
      <c r="A10" s="508" t="s">
        <v>695</v>
      </c>
      <c r="B10" s="229" t="s">
        <v>28</v>
      </c>
      <c r="C10" s="229" t="s">
        <v>29</v>
      </c>
      <c r="D10" s="229" t="s">
        <v>30</v>
      </c>
      <c r="E10" s="230" t="s">
        <v>31</v>
      </c>
      <c r="F10" s="229" t="s">
        <v>32</v>
      </c>
      <c r="G10" s="231" t="s">
        <v>33</v>
      </c>
    </row>
    <row r="11" spans="1:7" ht="42.75" customHeight="1">
      <c r="A11" s="508"/>
      <c r="B11" s="232" t="s">
        <v>644</v>
      </c>
      <c r="C11" s="232" t="s">
        <v>307</v>
      </c>
      <c r="D11" s="232" t="s">
        <v>696</v>
      </c>
      <c r="E11" s="232" t="s">
        <v>697</v>
      </c>
      <c r="F11" s="232" t="s">
        <v>686</v>
      </c>
      <c r="G11" s="233" t="s">
        <v>698</v>
      </c>
    </row>
    <row r="12" spans="1:7" ht="12" customHeight="1">
      <c r="A12" s="234"/>
      <c r="B12" s="232" t="s">
        <v>312</v>
      </c>
      <c r="C12" s="232" t="s">
        <v>319</v>
      </c>
      <c r="D12" s="235" t="s">
        <v>699</v>
      </c>
      <c r="E12" s="235" t="s">
        <v>327</v>
      </c>
      <c r="F12" s="232" t="s">
        <v>687</v>
      </c>
      <c r="G12" s="233" t="s">
        <v>328</v>
      </c>
    </row>
    <row r="13" spans="1:7" ht="12" customHeight="1">
      <c r="A13" s="234"/>
      <c r="B13" s="232" t="s">
        <v>313</v>
      </c>
      <c r="C13" s="232" t="s">
        <v>309</v>
      </c>
      <c r="D13" s="235" t="s">
        <v>305</v>
      </c>
      <c r="E13" s="235" t="s">
        <v>659</v>
      </c>
      <c r="F13" s="232" t="s">
        <v>700</v>
      </c>
      <c r="G13" s="233" t="s">
        <v>701</v>
      </c>
    </row>
    <row r="14" spans="1:7" ht="12" customHeight="1">
      <c r="A14" s="234"/>
      <c r="B14" s="232" t="s">
        <v>316</v>
      </c>
      <c r="C14" s="232" t="s">
        <v>310</v>
      </c>
      <c r="D14" s="235" t="s">
        <v>318</v>
      </c>
      <c r="E14" s="235" t="s">
        <v>660</v>
      </c>
      <c r="F14" s="232" t="s">
        <v>689</v>
      </c>
      <c r="G14" s="233" t="s">
        <v>702</v>
      </c>
    </row>
    <row r="15" spans="1:7" ht="12" customHeight="1">
      <c r="A15" s="234"/>
      <c r="B15" s="232" t="s">
        <v>703</v>
      </c>
      <c r="C15" s="232" t="s">
        <v>311</v>
      </c>
      <c r="D15" s="235" t="s">
        <v>704</v>
      </c>
      <c r="E15" s="235" t="s">
        <v>705</v>
      </c>
      <c r="F15" s="232" t="s">
        <v>706</v>
      </c>
      <c r="G15" s="233" t="s">
        <v>707</v>
      </c>
    </row>
    <row r="16" spans="1:7" ht="12" customHeight="1">
      <c r="A16" s="234"/>
      <c r="B16" s="232"/>
      <c r="C16" s="232" t="s">
        <v>649</v>
      </c>
      <c r="D16" s="235" t="s">
        <v>708</v>
      </c>
      <c r="E16" s="235" t="s">
        <v>709</v>
      </c>
      <c r="F16" s="232" t="s">
        <v>710</v>
      </c>
      <c r="G16" s="233" t="s">
        <v>711</v>
      </c>
    </row>
    <row r="17" spans="1:7" ht="12" customHeight="1">
      <c r="A17" s="234"/>
      <c r="B17" s="232"/>
      <c r="C17" s="232" t="s">
        <v>712</v>
      </c>
      <c r="D17" s="235" t="s">
        <v>308</v>
      </c>
      <c r="E17" s="235" t="s">
        <v>321</v>
      </c>
      <c r="F17" s="232" t="s">
        <v>664</v>
      </c>
      <c r="G17" s="233" t="s">
        <v>713</v>
      </c>
    </row>
    <row r="18" spans="1:7" ht="12" customHeight="1">
      <c r="A18" s="234"/>
      <c r="B18" s="232"/>
      <c r="C18" s="232" t="s">
        <v>314</v>
      </c>
      <c r="D18" s="235" t="s">
        <v>320</v>
      </c>
      <c r="E18" s="235" t="s">
        <v>329</v>
      </c>
      <c r="F18" s="232" t="s">
        <v>665</v>
      </c>
      <c r="G18" s="233" t="s">
        <v>714</v>
      </c>
    </row>
    <row r="19" spans="1:7" ht="12" customHeight="1">
      <c r="A19" s="234"/>
      <c r="B19" s="232"/>
      <c r="C19" s="232" t="s">
        <v>315</v>
      </c>
      <c r="D19" s="235" t="s">
        <v>684</v>
      </c>
      <c r="E19" s="235" t="s">
        <v>661</v>
      </c>
      <c r="F19" s="232" t="s">
        <v>666</v>
      </c>
      <c r="G19" s="233" t="s">
        <v>335</v>
      </c>
    </row>
    <row r="20" spans="1:7" ht="12" customHeight="1">
      <c r="A20" s="234"/>
      <c r="B20" s="232"/>
      <c r="C20" s="232" t="s">
        <v>715</v>
      </c>
      <c r="D20" s="235" t="s">
        <v>716</v>
      </c>
      <c r="E20" s="235" t="s">
        <v>322</v>
      </c>
      <c r="F20" s="232" t="s">
        <v>690</v>
      </c>
      <c r="G20" s="233"/>
    </row>
    <row r="21" spans="1:7" ht="12" customHeight="1">
      <c r="A21" s="234"/>
      <c r="B21" s="232"/>
      <c r="C21" s="232" t="s">
        <v>717</v>
      </c>
      <c r="D21" s="235" t="s">
        <v>685</v>
      </c>
      <c r="E21" s="235" t="s">
        <v>330</v>
      </c>
      <c r="F21" s="232" t="s">
        <v>718</v>
      </c>
      <c r="G21" s="233"/>
    </row>
    <row r="22" spans="1:7" ht="12" customHeight="1">
      <c r="A22" s="234"/>
      <c r="B22" s="232"/>
      <c r="C22" s="232"/>
      <c r="D22" s="235" t="s">
        <v>719</v>
      </c>
      <c r="E22" s="235" t="s">
        <v>720</v>
      </c>
      <c r="F22" s="232" t="s">
        <v>721</v>
      </c>
      <c r="G22" s="233"/>
    </row>
    <row r="23" spans="1:7" ht="12" customHeight="1">
      <c r="A23" s="234"/>
      <c r="B23" s="232"/>
      <c r="C23" s="232"/>
      <c r="D23" s="235" t="s">
        <v>722</v>
      </c>
      <c r="E23" s="235" t="s">
        <v>331</v>
      </c>
      <c r="F23" s="232" t="s">
        <v>723</v>
      </c>
      <c r="G23" s="233"/>
    </row>
    <row r="24" spans="1:7" ht="12" customHeight="1">
      <c r="A24" s="234"/>
      <c r="B24" s="232"/>
      <c r="C24" s="232"/>
      <c r="D24" s="235" t="s">
        <v>655</v>
      </c>
      <c r="E24" s="235" t="s">
        <v>332</v>
      </c>
      <c r="F24" s="232" t="s">
        <v>724</v>
      </c>
      <c r="G24" s="233"/>
    </row>
    <row r="25" spans="1:7" ht="12" customHeight="1">
      <c r="A25" s="234"/>
      <c r="B25" s="232"/>
      <c r="C25" s="232"/>
      <c r="D25" s="235" t="s">
        <v>324</v>
      </c>
      <c r="E25" s="235" t="s">
        <v>725</v>
      </c>
      <c r="F25" s="232" t="s">
        <v>726</v>
      </c>
      <c r="G25" s="233"/>
    </row>
    <row r="26" spans="1:7" ht="12" customHeight="1">
      <c r="A26" s="234"/>
      <c r="B26" s="232"/>
      <c r="C26" s="232"/>
      <c r="D26" s="235" t="s">
        <v>727</v>
      </c>
      <c r="E26" s="235" t="s">
        <v>333</v>
      </c>
      <c r="F26" s="232" t="s">
        <v>728</v>
      </c>
      <c r="G26" s="233"/>
    </row>
    <row r="27" spans="1:7" ht="12" customHeight="1">
      <c r="A27" s="234"/>
      <c r="B27" s="232"/>
      <c r="C27" s="232"/>
      <c r="D27" s="235" t="s">
        <v>317</v>
      </c>
      <c r="E27" s="235" t="s">
        <v>323</v>
      </c>
      <c r="F27" s="232" t="s">
        <v>729</v>
      </c>
      <c r="G27" s="233"/>
    </row>
    <row r="28" spans="1:7" ht="12" customHeight="1">
      <c r="A28" s="234"/>
      <c r="B28" s="232"/>
      <c r="C28" s="232"/>
      <c r="D28" s="235" t="s">
        <v>326</v>
      </c>
      <c r="E28" s="235" t="s">
        <v>730</v>
      </c>
      <c r="F28" s="232" t="s">
        <v>731</v>
      </c>
      <c r="G28" s="233"/>
    </row>
    <row r="29" spans="1:7" ht="12" customHeight="1">
      <c r="A29" s="234"/>
      <c r="B29" s="232"/>
      <c r="C29" s="232"/>
      <c r="D29" s="235"/>
      <c r="E29" s="235" t="s">
        <v>732</v>
      </c>
      <c r="F29" s="232" t="s">
        <v>733</v>
      </c>
      <c r="G29" s="233"/>
    </row>
    <row r="30" spans="1:7" ht="12" customHeight="1">
      <c r="A30" s="234"/>
      <c r="B30" s="232"/>
      <c r="C30" s="232"/>
      <c r="D30" s="235"/>
      <c r="E30" s="235" t="s">
        <v>325</v>
      </c>
      <c r="F30" s="232" t="s">
        <v>334</v>
      </c>
      <c r="G30" s="233"/>
    </row>
    <row r="31" spans="1:7" ht="41.25" customHeight="1">
      <c r="A31" s="236" t="s">
        <v>42</v>
      </c>
      <c r="B31" s="237">
        <f>131.76*Главная!B134</f>
        <v>4466.664</v>
      </c>
      <c r="C31" s="237">
        <f>152.81*Главная!B134</f>
        <v>5180.259</v>
      </c>
      <c r="D31" s="238">
        <f>167.72*Главная!B134</f>
        <v>5685.708</v>
      </c>
      <c r="E31" s="402">
        <f>192.22*Главная!B134</f>
        <v>6516.258</v>
      </c>
      <c r="F31" s="403">
        <f>211.44*Главная!B134</f>
        <v>7167.816</v>
      </c>
      <c r="G31" s="404">
        <f>256.26*Главная!B134</f>
        <v>8687.214</v>
      </c>
    </row>
    <row r="32" spans="1:7" ht="24" customHeight="1">
      <c r="A32" s="236" t="s">
        <v>43</v>
      </c>
      <c r="B32" s="237">
        <f>139.18*Главная!B134</f>
        <v>4718.202</v>
      </c>
      <c r="C32" s="237">
        <f>161.49*Главная!B134</f>
        <v>5474.511</v>
      </c>
      <c r="D32" s="238">
        <f>176.96*Главная!B134</f>
        <v>5998.944</v>
      </c>
      <c r="E32" s="402">
        <f>202.98*Главная!B134</f>
        <v>6881.021999999999</v>
      </c>
      <c r="F32" s="403">
        <f>223.27*Главная!B134</f>
        <v>7568.853</v>
      </c>
      <c r="G32" s="404">
        <f>270.64*Главная!B134</f>
        <v>9174.696</v>
      </c>
    </row>
    <row r="33" spans="1:7" ht="41.25" customHeight="1">
      <c r="A33" s="236" t="s">
        <v>44</v>
      </c>
      <c r="B33" s="237">
        <f>149.37*Главная!B134</f>
        <v>5063.643</v>
      </c>
      <c r="C33" s="237">
        <f>173.41*Главная!B134</f>
        <v>5878.598999999999</v>
      </c>
      <c r="D33" s="238">
        <f>195.32*Главная!B134</f>
        <v>6621.347999999999</v>
      </c>
      <c r="E33" s="402">
        <f>285.19*Главная!B134</f>
        <v>9667.940999999999</v>
      </c>
      <c r="F33" s="403">
        <f>313.7*Главная!B134</f>
        <v>10634.429999999998</v>
      </c>
      <c r="G33" s="404">
        <f>380.24*Главная!B134</f>
        <v>12890.136</v>
      </c>
    </row>
    <row r="34" spans="1:7" ht="28.5" customHeight="1" thickBot="1">
      <c r="A34" s="239" t="s">
        <v>45</v>
      </c>
      <c r="B34" s="240">
        <f>155.79*Главная!B134</f>
        <v>5281.281</v>
      </c>
      <c r="C34" s="240">
        <f>180.88*Главная!B134</f>
        <v>6131.831999999999</v>
      </c>
      <c r="D34" s="241">
        <f>204*Главная!B134</f>
        <v>6915.599999999999</v>
      </c>
      <c r="E34" s="405">
        <f>299.53*Главная!B134</f>
        <v>10154.067</v>
      </c>
      <c r="F34" s="406">
        <f>329.45*Главная!B134</f>
        <v>11168.355</v>
      </c>
      <c r="G34" s="407">
        <f>399.35*Главная!B134</f>
        <v>13537.965</v>
      </c>
    </row>
    <row r="37" spans="1:4" ht="12.75">
      <c r="A37" s="242" t="s">
        <v>46</v>
      </c>
      <c r="B37" s="243" t="s">
        <v>47</v>
      </c>
      <c r="C37" s="243" t="s">
        <v>48</v>
      </c>
      <c r="D37" s="243" t="s">
        <v>49</v>
      </c>
    </row>
    <row r="38" spans="1:4" ht="12.75">
      <c r="A38" s="244" t="s">
        <v>50</v>
      </c>
      <c r="B38" s="245">
        <v>9</v>
      </c>
      <c r="C38" s="246">
        <v>30</v>
      </c>
      <c r="D38" s="247">
        <v>24.3</v>
      </c>
    </row>
    <row r="39" spans="1:4" ht="12.75">
      <c r="A39" s="244" t="s">
        <v>51</v>
      </c>
      <c r="B39" s="245">
        <v>5</v>
      </c>
      <c r="C39" s="246">
        <v>30</v>
      </c>
      <c r="D39" s="247">
        <v>24</v>
      </c>
    </row>
    <row r="40" spans="1:4" ht="12.75">
      <c r="A40" s="244" t="s">
        <v>52</v>
      </c>
      <c r="B40" s="245">
        <v>4</v>
      </c>
      <c r="C40" s="246">
        <v>30</v>
      </c>
      <c r="D40" s="247">
        <v>21.6</v>
      </c>
    </row>
    <row r="41" spans="1:4" ht="12.75">
      <c r="A41" s="244" t="s">
        <v>53</v>
      </c>
      <c r="B41" s="245">
        <v>4</v>
      </c>
      <c r="C41" s="246">
        <v>30</v>
      </c>
      <c r="D41" s="247">
        <v>28.8</v>
      </c>
    </row>
    <row r="42" spans="1:4" ht="12.75">
      <c r="A42" s="244" t="s">
        <v>54</v>
      </c>
      <c r="B42" s="245">
        <v>4</v>
      </c>
      <c r="C42" s="246">
        <v>30</v>
      </c>
      <c r="D42" s="247">
        <v>43.2</v>
      </c>
    </row>
  </sheetData>
  <sheetProtection selectLockedCells="1" selectUnlockedCells="1"/>
  <mergeCells count="12">
    <mergeCell ref="A4:D4"/>
    <mergeCell ref="A5:D5"/>
    <mergeCell ref="A10:A11"/>
    <mergeCell ref="B7:G7"/>
    <mergeCell ref="A8:G8"/>
    <mergeCell ref="A9:G9"/>
    <mergeCell ref="A1:G1"/>
    <mergeCell ref="A2:B2"/>
    <mergeCell ref="A3:D3"/>
    <mergeCell ref="E3:F6"/>
    <mergeCell ref="A6:D6"/>
    <mergeCell ref="G3:G6"/>
  </mergeCells>
  <hyperlinks>
    <hyperlink ref="C2" location="Главная!A1" display="на главную"/>
    <hyperlink ref="A5:D5" r:id="rId1" display="Смотрите виды и характеристики кварцевого камня Silestone на сайте:"/>
  </hyperlinks>
  <printOptions/>
  <pageMargins left="0.6299212598425197" right="0.4724409448818898" top="0.1968503937007874" bottom="0.31496062992125984" header="0.1968503937007874" footer="0.3937007874015748"/>
  <pageSetup horizontalDpi="300" verticalDpi="300" orientation="landscape" paperSize="9" scale="65" r:id="rId4"/>
  <headerFooter alignWithMargins="0"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61"/>
  <sheetViews>
    <sheetView view="pageLayout" zoomScaleSheetLayoutView="90" workbookViewId="0" topLeftCell="A1">
      <selection activeCell="C66" sqref="C66"/>
    </sheetView>
  </sheetViews>
  <sheetFormatPr defaultColWidth="9.00390625" defaultRowHeight="12.75"/>
  <cols>
    <col min="1" max="1" width="21.875" style="28" bestFit="1" customWidth="1"/>
    <col min="2" max="5" width="10.625" style="28" customWidth="1"/>
    <col min="6" max="7" width="10.625" style="77" customWidth="1"/>
    <col min="8" max="9" width="10.625" style="1" customWidth="1"/>
    <col min="10" max="11" width="10.625" style="0" customWidth="1"/>
    <col min="12" max="12" width="17.50390625" style="0" customWidth="1"/>
  </cols>
  <sheetData>
    <row r="1" ht="12.75" customHeight="1">
      <c r="L1" s="1"/>
    </row>
    <row r="2" spans="1:12" ht="14.25" customHeight="1">
      <c r="A2" s="29">
        <f>'[3]Главная'!B2</f>
        <v>43494</v>
      </c>
      <c r="B2" s="546" t="s">
        <v>295</v>
      </c>
      <c r="C2" s="546"/>
      <c r="D2" s="546"/>
      <c r="E2" s="546"/>
      <c r="F2" s="546"/>
      <c r="G2" s="149"/>
      <c r="L2" s="1"/>
    </row>
    <row r="3" spans="1:12" ht="41.25" customHeight="1">
      <c r="A3" s="549" t="s">
        <v>55</v>
      </c>
      <c r="B3" s="549"/>
      <c r="C3" s="549"/>
      <c r="D3" s="549"/>
      <c r="E3" s="549"/>
      <c r="F3" s="549"/>
      <c r="G3" s="549"/>
      <c r="H3" s="549"/>
      <c r="I3" s="150"/>
      <c r="L3" s="1"/>
    </row>
    <row r="4" spans="1:12" ht="16.5" customHeight="1">
      <c r="A4" s="525" t="s">
        <v>26</v>
      </c>
      <c r="B4" s="525"/>
      <c r="C4" s="525"/>
      <c r="D4" s="525"/>
      <c r="E4" s="525"/>
      <c r="F4" s="525"/>
      <c r="G4" s="525"/>
      <c r="H4" s="525"/>
      <c r="I4" s="151"/>
      <c r="L4" s="1"/>
    </row>
    <row r="5" spans="1:12" ht="20.25" customHeight="1">
      <c r="A5" s="547" t="s">
        <v>56</v>
      </c>
      <c r="B5" s="547"/>
      <c r="C5" s="547"/>
      <c r="D5" s="547"/>
      <c r="E5" s="547"/>
      <c r="F5" s="547"/>
      <c r="G5" s="547"/>
      <c r="H5" s="547"/>
      <c r="I5" s="213"/>
      <c r="L5" s="1"/>
    </row>
    <row r="6" spans="1:12" ht="14.25" customHeight="1">
      <c r="A6" s="213"/>
      <c r="B6" s="213"/>
      <c r="C6" s="213"/>
      <c r="D6" s="213"/>
      <c r="E6" s="213"/>
      <c r="F6" s="213"/>
      <c r="G6" s="213"/>
      <c r="L6" s="1"/>
    </row>
    <row r="7" spans="1:12" ht="18.75" customHeight="1">
      <c r="A7" s="548" t="s">
        <v>156</v>
      </c>
      <c r="B7" s="523" t="s">
        <v>296</v>
      </c>
      <c r="C7" s="523"/>
      <c r="D7" s="529" t="s">
        <v>297</v>
      </c>
      <c r="E7" s="529"/>
      <c r="F7" s="523" t="s">
        <v>298</v>
      </c>
      <c r="G7" s="523"/>
      <c r="H7" s="523" t="s">
        <v>299</v>
      </c>
      <c r="I7" s="523"/>
      <c r="J7" s="523" t="s">
        <v>680</v>
      </c>
      <c r="K7" s="529"/>
      <c r="L7" s="216" t="s">
        <v>681</v>
      </c>
    </row>
    <row r="8" spans="1:12" ht="50.25" customHeight="1">
      <c r="A8" s="548"/>
      <c r="B8" s="528"/>
      <c r="C8" s="528"/>
      <c r="D8" s="544"/>
      <c r="E8" s="544"/>
      <c r="F8" s="528"/>
      <c r="G8" s="528"/>
      <c r="H8" s="528"/>
      <c r="I8" s="528"/>
      <c r="J8" s="528"/>
      <c r="K8" s="544"/>
      <c r="L8" s="217"/>
    </row>
    <row r="9" spans="1:12" ht="20.25" customHeight="1">
      <c r="A9" s="214" t="s">
        <v>300</v>
      </c>
      <c r="B9" s="526" t="s">
        <v>301</v>
      </c>
      <c r="C9" s="526"/>
      <c r="D9" s="526" t="s">
        <v>302</v>
      </c>
      <c r="E9" s="526"/>
      <c r="F9" s="527" t="s">
        <v>303</v>
      </c>
      <c r="G9" s="527"/>
      <c r="H9" s="526" t="s">
        <v>304</v>
      </c>
      <c r="I9" s="526"/>
      <c r="J9" s="526" t="s">
        <v>682</v>
      </c>
      <c r="K9" s="545"/>
      <c r="L9" s="218" t="s">
        <v>683</v>
      </c>
    </row>
    <row r="10" spans="1:12" ht="20.25" customHeight="1">
      <c r="A10" s="215" t="s">
        <v>274</v>
      </c>
      <c r="B10" s="524" t="s">
        <v>693</v>
      </c>
      <c r="C10" s="524"/>
      <c r="D10" s="524" t="s">
        <v>693</v>
      </c>
      <c r="E10" s="524"/>
      <c r="F10" s="524" t="s">
        <v>693</v>
      </c>
      <c r="G10" s="524"/>
      <c r="H10" s="524" t="s">
        <v>693</v>
      </c>
      <c r="I10" s="524"/>
      <c r="J10" s="524" t="s">
        <v>693</v>
      </c>
      <c r="K10" s="524"/>
      <c r="L10" s="219" t="s">
        <v>693</v>
      </c>
    </row>
    <row r="11" spans="1:12" ht="20.25" customHeight="1">
      <c r="A11" s="411" t="s">
        <v>1216</v>
      </c>
      <c r="B11" s="518">
        <f>444*Главная!$B$134</f>
        <v>15051.599999999999</v>
      </c>
      <c r="C11" s="519"/>
      <c r="D11" s="518">
        <f>338*Главная!$B$134</f>
        <v>11458.199999999999</v>
      </c>
      <c r="E11" s="519"/>
      <c r="F11" s="518">
        <f>463*Главная!$B$134</f>
        <v>15695.699999999999</v>
      </c>
      <c r="G11" s="519"/>
      <c r="H11" s="530" t="s">
        <v>306</v>
      </c>
      <c r="I11" s="530"/>
      <c r="J11" s="516" t="s">
        <v>306</v>
      </c>
      <c r="K11" s="517"/>
      <c r="L11" s="413" t="s">
        <v>306</v>
      </c>
    </row>
    <row r="12" spans="1:12" ht="13.5" customHeight="1">
      <c r="A12" s="411" t="s">
        <v>1183</v>
      </c>
      <c r="B12" s="518">
        <f>444*Главная!$B$134</f>
        <v>15051.599999999999</v>
      </c>
      <c r="C12" s="519"/>
      <c r="D12" s="518">
        <f>338*Главная!$B$134</f>
        <v>11458.199999999999</v>
      </c>
      <c r="E12" s="519"/>
      <c r="F12" s="518">
        <f>463*Главная!$B$134</f>
        <v>15695.699999999999</v>
      </c>
      <c r="G12" s="519"/>
      <c r="H12" s="518">
        <f>480*Главная!$B$134</f>
        <v>16272</v>
      </c>
      <c r="I12" s="519"/>
      <c r="J12" s="516" t="s">
        <v>306</v>
      </c>
      <c r="K12" s="517"/>
      <c r="L12" s="414" t="s">
        <v>306</v>
      </c>
    </row>
    <row r="13" spans="1:12" ht="13.5" customHeight="1">
      <c r="A13" s="415" t="s">
        <v>307</v>
      </c>
      <c r="B13" s="518" t="s">
        <v>306</v>
      </c>
      <c r="C13" s="519"/>
      <c r="D13" s="518">
        <f>338*Главная!$B$134</f>
        <v>11458.199999999999</v>
      </c>
      <c r="E13" s="519"/>
      <c r="F13" s="518">
        <f>463*Главная!$B$134</f>
        <v>15695.699999999999</v>
      </c>
      <c r="G13" s="519"/>
      <c r="H13" s="530" t="s">
        <v>306</v>
      </c>
      <c r="I13" s="530"/>
      <c r="J13" s="516" t="s">
        <v>306</v>
      </c>
      <c r="K13" s="517"/>
      <c r="L13" s="414" t="s">
        <v>306</v>
      </c>
    </row>
    <row r="14" spans="1:12" ht="13.5" customHeight="1">
      <c r="A14" s="411" t="s">
        <v>653</v>
      </c>
      <c r="B14" s="518">
        <f>444*Главная!$B$134</f>
        <v>15051.599999999999</v>
      </c>
      <c r="C14" s="519"/>
      <c r="D14" s="518">
        <f>338*Главная!$B$134</f>
        <v>11458.199999999999</v>
      </c>
      <c r="E14" s="519"/>
      <c r="F14" s="518">
        <f>463*Главная!$B$134</f>
        <v>15695.699999999999</v>
      </c>
      <c r="G14" s="519"/>
      <c r="H14" s="531" t="s">
        <v>306</v>
      </c>
      <c r="I14" s="532"/>
      <c r="J14" s="550" t="s">
        <v>306</v>
      </c>
      <c r="K14" s="551"/>
      <c r="L14" s="414" t="s">
        <v>306</v>
      </c>
    </row>
    <row r="15" spans="1:12" ht="13.5" customHeight="1">
      <c r="A15" s="221" t="s">
        <v>308</v>
      </c>
      <c r="B15" s="518">
        <f>444*Главная!$B$134</f>
        <v>15051.599999999999</v>
      </c>
      <c r="C15" s="519"/>
      <c r="D15" s="518">
        <f>338*Главная!$B$134</f>
        <v>11458.199999999999</v>
      </c>
      <c r="E15" s="519"/>
      <c r="F15" s="518">
        <f>463*Главная!$B$134</f>
        <v>15695.699999999999</v>
      </c>
      <c r="G15" s="519"/>
      <c r="H15" s="520" t="s">
        <v>306</v>
      </c>
      <c r="I15" s="520"/>
      <c r="J15" s="520" t="s">
        <v>306</v>
      </c>
      <c r="K15" s="551"/>
      <c r="L15" s="408" t="s">
        <v>306</v>
      </c>
    </row>
    <row r="16" spans="1:12" ht="13.5" customHeight="1">
      <c r="A16" s="221" t="s">
        <v>1217</v>
      </c>
      <c r="B16" s="533" t="s">
        <v>306</v>
      </c>
      <c r="C16" s="533"/>
      <c r="D16" s="518">
        <f>338*Главная!$B$134</f>
        <v>11458.199999999999</v>
      </c>
      <c r="E16" s="519"/>
      <c r="F16" s="518">
        <f>463*Главная!$B$134</f>
        <v>15695.699999999999</v>
      </c>
      <c r="G16" s="519"/>
      <c r="H16" s="520" t="s">
        <v>306</v>
      </c>
      <c r="I16" s="520"/>
      <c r="J16" s="533" t="s">
        <v>306</v>
      </c>
      <c r="K16" s="539"/>
      <c r="L16" s="408" t="s">
        <v>306</v>
      </c>
    </row>
    <row r="17" spans="1:12" ht="13.5" customHeight="1">
      <c r="A17" s="221" t="s">
        <v>309</v>
      </c>
      <c r="B17" s="518">
        <f>444*Главная!$B$134</f>
        <v>15051.599999999999</v>
      </c>
      <c r="C17" s="519"/>
      <c r="D17" s="518">
        <f>338*Главная!$B$134</f>
        <v>11458.199999999999</v>
      </c>
      <c r="E17" s="519"/>
      <c r="F17" s="518">
        <f>463*Главная!$B$134</f>
        <v>15695.699999999999</v>
      </c>
      <c r="G17" s="519"/>
      <c r="H17" s="520" t="s">
        <v>306</v>
      </c>
      <c r="I17" s="520"/>
      <c r="J17" s="552" t="s">
        <v>306</v>
      </c>
      <c r="K17" s="553"/>
      <c r="L17" s="408" t="s">
        <v>306</v>
      </c>
    </row>
    <row r="18" spans="1:12" ht="12.75">
      <c r="A18" s="221" t="s">
        <v>320</v>
      </c>
      <c r="B18" s="518">
        <f>444*Главная!$B$134</f>
        <v>15051.599999999999</v>
      </c>
      <c r="C18" s="519"/>
      <c r="D18" s="518">
        <f>338*Главная!$B$134</f>
        <v>11458.199999999999</v>
      </c>
      <c r="E18" s="519"/>
      <c r="F18" s="518">
        <f>463*Главная!$B$134</f>
        <v>15695.699999999999</v>
      </c>
      <c r="G18" s="519"/>
      <c r="H18" s="521" t="s">
        <v>306</v>
      </c>
      <c r="I18" s="522"/>
      <c r="J18" s="554" t="s">
        <v>306</v>
      </c>
      <c r="K18" s="553"/>
      <c r="L18" s="414">
        <f>435*Главная!$B$134</f>
        <v>14746.5</v>
      </c>
    </row>
    <row r="19" spans="1:12" ht="13.5" customHeight="1">
      <c r="A19" s="221" t="s">
        <v>310</v>
      </c>
      <c r="B19" s="518">
        <f>444*Главная!$B$134</f>
        <v>15051.599999999999</v>
      </c>
      <c r="C19" s="519"/>
      <c r="D19" s="518">
        <f>338*Главная!$B$134</f>
        <v>11458.199999999999</v>
      </c>
      <c r="E19" s="519"/>
      <c r="F19" s="518">
        <f>463*Главная!$B$134</f>
        <v>15695.699999999999</v>
      </c>
      <c r="G19" s="519"/>
      <c r="H19" s="520" t="s">
        <v>306</v>
      </c>
      <c r="I19" s="520"/>
      <c r="J19" s="552" t="s">
        <v>306</v>
      </c>
      <c r="K19" s="553"/>
      <c r="L19" s="408" t="s">
        <v>306</v>
      </c>
    </row>
    <row r="20" spans="1:12" ht="13.5" customHeight="1">
      <c r="A20" s="221" t="s">
        <v>684</v>
      </c>
      <c r="B20" s="533" t="s">
        <v>306</v>
      </c>
      <c r="C20" s="533"/>
      <c r="D20" s="518">
        <f>338*Главная!$B$134</f>
        <v>11458.199999999999</v>
      </c>
      <c r="E20" s="519"/>
      <c r="F20" s="518">
        <f>463*Главная!$B$134</f>
        <v>15695.699999999999</v>
      </c>
      <c r="G20" s="519"/>
      <c r="H20" s="520" t="s">
        <v>306</v>
      </c>
      <c r="I20" s="520"/>
      <c r="J20" s="552" t="s">
        <v>306</v>
      </c>
      <c r="K20" s="553"/>
      <c r="L20" s="408" t="s">
        <v>306</v>
      </c>
    </row>
    <row r="21" spans="1:12" ht="13.5" customHeight="1">
      <c r="A21" s="221" t="s">
        <v>311</v>
      </c>
      <c r="B21" s="533" t="s">
        <v>306</v>
      </c>
      <c r="C21" s="533"/>
      <c r="D21" s="518">
        <f>338*Главная!$B$134</f>
        <v>11458.199999999999</v>
      </c>
      <c r="E21" s="519"/>
      <c r="F21" s="518">
        <f>463*Главная!$B$134</f>
        <v>15695.699999999999</v>
      </c>
      <c r="G21" s="519"/>
      <c r="H21" s="520" t="s">
        <v>306</v>
      </c>
      <c r="I21" s="520"/>
      <c r="J21" s="533" t="s">
        <v>306</v>
      </c>
      <c r="K21" s="539"/>
      <c r="L21" s="408" t="s">
        <v>306</v>
      </c>
    </row>
    <row r="22" spans="1:12" ht="13.5" customHeight="1">
      <c r="A22" s="221" t="s">
        <v>685</v>
      </c>
      <c r="B22" s="518">
        <f>444*Главная!$B$134</f>
        <v>15051.599999999999</v>
      </c>
      <c r="C22" s="519"/>
      <c r="D22" s="518">
        <f>338*Главная!$B$134</f>
        <v>11458.199999999999</v>
      </c>
      <c r="E22" s="519"/>
      <c r="F22" s="518">
        <f>463*Главная!$B$134</f>
        <v>15695.699999999999</v>
      </c>
      <c r="G22" s="519"/>
      <c r="H22" s="518">
        <f>480*Главная!$B$134</f>
        <v>16272</v>
      </c>
      <c r="I22" s="519"/>
      <c r="J22" s="520" t="s">
        <v>306</v>
      </c>
      <c r="K22" s="551"/>
      <c r="L22" s="414">
        <f>435*Главная!$B$134</f>
        <v>14746.5</v>
      </c>
    </row>
    <row r="23" spans="1:12" ht="13.5" customHeight="1">
      <c r="A23" s="221" t="s">
        <v>312</v>
      </c>
      <c r="B23" s="518">
        <f>444*Главная!$B$134</f>
        <v>15051.599999999999</v>
      </c>
      <c r="C23" s="519"/>
      <c r="D23" s="518">
        <f>338*Главная!$B$134</f>
        <v>11458.199999999999</v>
      </c>
      <c r="E23" s="519"/>
      <c r="F23" s="518">
        <f>463*Главная!$B$134</f>
        <v>15695.699999999999</v>
      </c>
      <c r="G23" s="519"/>
      <c r="H23" s="518">
        <f>480*Главная!$B$134</f>
        <v>16272</v>
      </c>
      <c r="I23" s="519"/>
      <c r="J23" s="520" t="s">
        <v>306</v>
      </c>
      <c r="K23" s="551"/>
      <c r="L23" s="414">
        <f>435*Главная!$B$134</f>
        <v>14746.5</v>
      </c>
    </row>
    <row r="24" spans="1:12" ht="13.5" customHeight="1">
      <c r="A24" s="221" t="s">
        <v>649</v>
      </c>
      <c r="B24" s="533" t="s">
        <v>306</v>
      </c>
      <c r="C24" s="533"/>
      <c r="D24" s="518">
        <f>338*Главная!$B$134</f>
        <v>11458.199999999999</v>
      </c>
      <c r="E24" s="519"/>
      <c r="F24" s="518">
        <f>463*Главная!$B$134</f>
        <v>15695.699999999999</v>
      </c>
      <c r="G24" s="519"/>
      <c r="H24" s="520" t="s">
        <v>306</v>
      </c>
      <c r="I24" s="520"/>
      <c r="J24" s="520" t="s">
        <v>306</v>
      </c>
      <c r="K24" s="551"/>
      <c r="L24" s="408" t="s">
        <v>306</v>
      </c>
    </row>
    <row r="25" spans="1:12" ht="13.5" customHeight="1">
      <c r="A25" s="221" t="s">
        <v>313</v>
      </c>
      <c r="B25" s="533" t="s">
        <v>306</v>
      </c>
      <c r="C25" s="533"/>
      <c r="D25" s="518">
        <f>338*Главная!$B$134</f>
        <v>11458.199999999999</v>
      </c>
      <c r="E25" s="519"/>
      <c r="F25" s="518">
        <f>463*Главная!$B$134</f>
        <v>15695.699999999999</v>
      </c>
      <c r="G25" s="519"/>
      <c r="H25" s="520" t="s">
        <v>306</v>
      </c>
      <c r="I25" s="520"/>
      <c r="J25" s="520" t="s">
        <v>306</v>
      </c>
      <c r="K25" s="551"/>
      <c r="L25" s="408" t="s">
        <v>306</v>
      </c>
    </row>
    <row r="26" spans="1:12" ht="12.75">
      <c r="A26" s="221" t="s">
        <v>332</v>
      </c>
      <c r="B26" s="518" t="s">
        <v>306</v>
      </c>
      <c r="C26" s="519"/>
      <c r="D26" s="518">
        <f>338*Главная!$B$134</f>
        <v>11458.199999999999</v>
      </c>
      <c r="E26" s="519"/>
      <c r="F26" s="518">
        <f>463*Главная!$B$134</f>
        <v>15695.699999999999</v>
      </c>
      <c r="G26" s="519"/>
      <c r="H26" s="534" t="s">
        <v>306</v>
      </c>
      <c r="I26" s="534"/>
      <c r="J26" s="518" t="s">
        <v>306</v>
      </c>
      <c r="K26" s="519"/>
      <c r="L26" s="412" t="s">
        <v>306</v>
      </c>
    </row>
    <row r="27" spans="1:12" ht="13.5" customHeight="1">
      <c r="A27" s="221" t="s">
        <v>1218</v>
      </c>
      <c r="B27" s="518">
        <f>444*Главная!$B$134</f>
        <v>15051.599999999999</v>
      </c>
      <c r="C27" s="519"/>
      <c r="D27" s="518">
        <f>338*Главная!$B$134</f>
        <v>11458.199999999999</v>
      </c>
      <c r="E27" s="519"/>
      <c r="F27" s="518">
        <f>463*Главная!$B$134</f>
        <v>15695.699999999999</v>
      </c>
      <c r="G27" s="519"/>
      <c r="H27" s="534" t="s">
        <v>306</v>
      </c>
      <c r="I27" s="534"/>
      <c r="J27" s="518" t="s">
        <v>306</v>
      </c>
      <c r="K27" s="519"/>
      <c r="L27" s="414">
        <f>435*Главная!$B$134</f>
        <v>14746.5</v>
      </c>
    </row>
    <row r="28" spans="1:12" ht="13.5" customHeight="1">
      <c r="A28" s="221" t="s">
        <v>655</v>
      </c>
      <c r="B28" s="518">
        <f>444*Главная!$B$134</f>
        <v>15051.599999999999</v>
      </c>
      <c r="C28" s="519"/>
      <c r="D28" s="518">
        <f>338*Главная!$B$134</f>
        <v>11458.199999999999</v>
      </c>
      <c r="E28" s="519"/>
      <c r="F28" s="518">
        <f>463*Главная!$B$134</f>
        <v>15695.699999999999</v>
      </c>
      <c r="G28" s="519"/>
      <c r="H28" s="531" t="s">
        <v>306</v>
      </c>
      <c r="I28" s="532"/>
      <c r="J28" s="550" t="s">
        <v>306</v>
      </c>
      <c r="K28" s="551"/>
      <c r="L28" s="414" t="s">
        <v>306</v>
      </c>
    </row>
    <row r="29" spans="1:12" ht="13.5" customHeight="1">
      <c r="A29" s="221" t="s">
        <v>314</v>
      </c>
      <c r="B29" s="518">
        <f>444*Главная!$B$134</f>
        <v>15051.599999999999</v>
      </c>
      <c r="C29" s="519"/>
      <c r="D29" s="518">
        <f>338*Главная!$B$134</f>
        <v>11458.199999999999</v>
      </c>
      <c r="E29" s="519"/>
      <c r="F29" s="518">
        <f>463*Главная!$B$134</f>
        <v>15695.699999999999</v>
      </c>
      <c r="G29" s="519"/>
      <c r="H29" s="520" t="s">
        <v>306</v>
      </c>
      <c r="I29" s="520"/>
      <c r="J29" s="520" t="s">
        <v>306</v>
      </c>
      <c r="K29" s="551"/>
      <c r="L29" s="408" t="s">
        <v>306</v>
      </c>
    </row>
    <row r="30" spans="1:12" ht="13.5" customHeight="1">
      <c r="A30" s="221" t="s">
        <v>316</v>
      </c>
      <c r="B30" s="533" t="s">
        <v>306</v>
      </c>
      <c r="C30" s="533"/>
      <c r="D30" s="518">
        <f>338*Главная!$B$134</f>
        <v>11458.199999999999</v>
      </c>
      <c r="E30" s="519"/>
      <c r="F30" s="518">
        <f>463*Главная!$B$134</f>
        <v>15695.699999999999</v>
      </c>
      <c r="G30" s="519"/>
      <c r="H30" s="520" t="s">
        <v>306</v>
      </c>
      <c r="I30" s="520"/>
      <c r="J30" s="520" t="s">
        <v>306</v>
      </c>
      <c r="K30" s="551"/>
      <c r="L30" s="408" t="s">
        <v>306</v>
      </c>
    </row>
    <row r="31" spans="1:12" ht="13.5" customHeight="1">
      <c r="A31" s="221" t="s">
        <v>1219</v>
      </c>
      <c r="B31" s="533" t="s">
        <v>306</v>
      </c>
      <c r="C31" s="533"/>
      <c r="D31" s="518">
        <f>338*Главная!$B$134</f>
        <v>11458.199999999999</v>
      </c>
      <c r="E31" s="519"/>
      <c r="F31" s="518">
        <f>463*Главная!$B$134</f>
        <v>15695.699999999999</v>
      </c>
      <c r="G31" s="519"/>
      <c r="H31" s="520" t="s">
        <v>306</v>
      </c>
      <c r="I31" s="520"/>
      <c r="J31" s="520"/>
      <c r="K31" s="551"/>
      <c r="L31" s="408"/>
    </row>
    <row r="32" spans="1:12" ht="12.75" customHeight="1">
      <c r="A32" s="221" t="s">
        <v>324</v>
      </c>
      <c r="B32" s="518">
        <f>444*Главная!$B$134</f>
        <v>15051.599999999999</v>
      </c>
      <c r="C32" s="519"/>
      <c r="D32" s="518">
        <f>338*Главная!$B$134</f>
        <v>11458.199999999999</v>
      </c>
      <c r="E32" s="519"/>
      <c r="F32" s="518">
        <f>463*Главная!$B$134</f>
        <v>15695.699999999999</v>
      </c>
      <c r="G32" s="519"/>
      <c r="H32" s="518">
        <f>480*Главная!$B$134</f>
        <v>16272</v>
      </c>
      <c r="I32" s="519"/>
      <c r="J32" s="550" t="s">
        <v>306</v>
      </c>
      <c r="K32" s="551"/>
      <c r="L32" s="414" t="s">
        <v>306</v>
      </c>
    </row>
    <row r="33" spans="1:12" ht="12.75" customHeight="1">
      <c r="A33" s="415" t="s">
        <v>317</v>
      </c>
      <c r="B33" s="518" t="s">
        <v>306</v>
      </c>
      <c r="C33" s="519"/>
      <c r="D33" s="518">
        <f>338*Главная!$B$134</f>
        <v>11458.199999999999</v>
      </c>
      <c r="E33" s="519"/>
      <c r="F33" s="518">
        <f>463*Главная!$B$134</f>
        <v>15695.699999999999</v>
      </c>
      <c r="G33" s="519"/>
      <c r="H33" s="516" t="s">
        <v>306</v>
      </c>
      <c r="I33" s="517"/>
      <c r="J33" s="516" t="s">
        <v>306</v>
      </c>
      <c r="K33" s="517"/>
      <c r="L33" s="408" t="s">
        <v>306</v>
      </c>
    </row>
    <row r="34" spans="1:12" ht="13.5" customHeight="1">
      <c r="A34" s="221" t="s">
        <v>326</v>
      </c>
      <c r="B34" s="518">
        <f>444*Главная!$B$134</f>
        <v>15051.599999999999</v>
      </c>
      <c r="C34" s="519"/>
      <c r="D34" s="518">
        <f>338*Главная!$B$134</f>
        <v>11458.199999999999</v>
      </c>
      <c r="E34" s="519"/>
      <c r="F34" s="518">
        <f>463*Главная!$B$134</f>
        <v>15695.699999999999</v>
      </c>
      <c r="G34" s="519"/>
      <c r="H34" s="518">
        <f>480*Главная!$B$134</f>
        <v>16272</v>
      </c>
      <c r="I34" s="519"/>
      <c r="J34" s="520" t="s">
        <v>306</v>
      </c>
      <c r="K34" s="551"/>
      <c r="L34" s="408" t="s">
        <v>306</v>
      </c>
    </row>
    <row r="35" spans="1:12" ht="13.5" customHeight="1">
      <c r="A35" s="220" t="s">
        <v>687</v>
      </c>
      <c r="B35" s="535" t="s">
        <v>306</v>
      </c>
      <c r="C35" s="535"/>
      <c r="D35" s="536">
        <f>444*Главная!$B$134</f>
        <v>15051.599999999999</v>
      </c>
      <c r="E35" s="537"/>
      <c r="F35" s="536">
        <f>619*Главная!$B$134</f>
        <v>20984.1</v>
      </c>
      <c r="G35" s="537"/>
      <c r="H35" s="535" t="s">
        <v>306</v>
      </c>
      <c r="I35" s="535"/>
      <c r="J35" s="555" t="s">
        <v>306</v>
      </c>
      <c r="K35" s="556"/>
      <c r="L35" s="409">
        <f>573*Главная!$B$134</f>
        <v>19424.7</v>
      </c>
    </row>
    <row r="36" spans="1:12" ht="13.5" customHeight="1">
      <c r="A36" s="221" t="s">
        <v>659</v>
      </c>
      <c r="B36" s="518" t="s">
        <v>306</v>
      </c>
      <c r="C36" s="519"/>
      <c r="D36" s="518">
        <f>444*Главная!$B$134</f>
        <v>15051.599999999999</v>
      </c>
      <c r="E36" s="519"/>
      <c r="F36" s="518">
        <f>619*Главная!$B$134</f>
        <v>20984.1</v>
      </c>
      <c r="G36" s="519"/>
      <c r="H36" s="518">
        <f>644*Главная!$B$134</f>
        <v>21831.6</v>
      </c>
      <c r="I36" s="534"/>
      <c r="J36" s="518" t="s">
        <v>306</v>
      </c>
      <c r="K36" s="519"/>
      <c r="L36" s="414">
        <f>573*Главная!$B$134</f>
        <v>19424.7</v>
      </c>
    </row>
    <row r="37" spans="1:12" ht="12.75">
      <c r="A37" s="221" t="s">
        <v>1184</v>
      </c>
      <c r="B37" s="518">
        <f>588*Главная!$B$134</f>
        <v>19933.2</v>
      </c>
      <c r="C37" s="519"/>
      <c r="D37" s="518">
        <f>444*Главная!$B$134</f>
        <v>15051.599999999999</v>
      </c>
      <c r="E37" s="519"/>
      <c r="F37" s="518">
        <f>619*Главная!$B$134</f>
        <v>20984.1</v>
      </c>
      <c r="G37" s="519"/>
      <c r="H37" s="518" t="s">
        <v>306</v>
      </c>
      <c r="I37" s="534"/>
      <c r="J37" s="518" t="s">
        <v>306</v>
      </c>
      <c r="K37" s="519"/>
      <c r="L37" s="412" t="s">
        <v>306</v>
      </c>
    </row>
    <row r="38" spans="1:12" ht="12.75">
      <c r="A38" s="221" t="s">
        <v>322</v>
      </c>
      <c r="B38" s="518">
        <f>588*Главная!$B$134</f>
        <v>19933.2</v>
      </c>
      <c r="C38" s="519"/>
      <c r="D38" s="518">
        <f>444*Главная!$B$134</f>
        <v>15051.599999999999</v>
      </c>
      <c r="E38" s="519"/>
      <c r="F38" s="518">
        <f>619*Главная!$B$134</f>
        <v>20984.1</v>
      </c>
      <c r="G38" s="519"/>
      <c r="H38" s="521" t="s">
        <v>306</v>
      </c>
      <c r="I38" s="522"/>
      <c r="J38" s="538" t="s">
        <v>306</v>
      </c>
      <c r="K38" s="539"/>
      <c r="L38" s="412" t="s">
        <v>306</v>
      </c>
    </row>
    <row r="39" spans="1:12" ht="13.5" customHeight="1">
      <c r="A39" s="221" t="s">
        <v>330</v>
      </c>
      <c r="B39" s="538" t="s">
        <v>306</v>
      </c>
      <c r="C39" s="539"/>
      <c r="D39" s="518">
        <f>444*Главная!$B$134</f>
        <v>15051.599999999999</v>
      </c>
      <c r="E39" s="519"/>
      <c r="F39" s="518">
        <f>619*Главная!$B$134</f>
        <v>20984.1</v>
      </c>
      <c r="G39" s="519"/>
      <c r="H39" s="518">
        <f>644*Главная!$B$134</f>
        <v>21831.6</v>
      </c>
      <c r="I39" s="534"/>
      <c r="J39" s="538" t="s">
        <v>306</v>
      </c>
      <c r="K39" s="539"/>
      <c r="L39" s="414">
        <f>573*Главная!$B$134</f>
        <v>19424.7</v>
      </c>
    </row>
    <row r="40" spans="1:12" ht="12.75">
      <c r="A40" s="221" t="s">
        <v>331</v>
      </c>
      <c r="B40" s="538" t="s">
        <v>306</v>
      </c>
      <c r="C40" s="539"/>
      <c r="D40" s="518">
        <f>444*Главная!$B$134</f>
        <v>15051.599999999999</v>
      </c>
      <c r="E40" s="519"/>
      <c r="F40" s="518">
        <f>619*Главная!$B$134</f>
        <v>20984.1</v>
      </c>
      <c r="G40" s="519"/>
      <c r="H40" s="518">
        <f>644*Главная!$B$134</f>
        <v>21831.6</v>
      </c>
      <c r="I40" s="534"/>
      <c r="J40" s="538" t="s">
        <v>306</v>
      </c>
      <c r="K40" s="539"/>
      <c r="L40" s="412" t="s">
        <v>306</v>
      </c>
    </row>
    <row r="41" spans="1:12" ht="12.75" customHeight="1">
      <c r="A41" s="222" t="s">
        <v>1220</v>
      </c>
      <c r="B41" s="540">
        <f>588*Главная!$B$134</f>
        <v>19933.2</v>
      </c>
      <c r="C41" s="541"/>
      <c r="D41" s="540">
        <f>444*Главная!$B$134</f>
        <v>15051.599999999999</v>
      </c>
      <c r="E41" s="541"/>
      <c r="F41" s="540">
        <f>619*Главная!$B$134</f>
        <v>20984.1</v>
      </c>
      <c r="G41" s="541"/>
      <c r="H41" s="540">
        <f>644*Главная!$B$134</f>
        <v>21831.6</v>
      </c>
      <c r="I41" s="542"/>
      <c r="J41" s="558" t="s">
        <v>306</v>
      </c>
      <c r="K41" s="559"/>
      <c r="L41" s="416" t="s">
        <v>306</v>
      </c>
    </row>
    <row r="42" spans="1:12" ht="12.75" customHeight="1">
      <c r="A42" s="220" t="s">
        <v>686</v>
      </c>
      <c r="B42" s="543" t="s">
        <v>306</v>
      </c>
      <c r="C42" s="543"/>
      <c r="D42" s="536">
        <f>519*Главная!$B$134</f>
        <v>17594.1</v>
      </c>
      <c r="E42" s="537"/>
      <c r="F42" s="536">
        <f>731*Главная!$B$134</f>
        <v>24780.899999999998</v>
      </c>
      <c r="G42" s="537"/>
      <c r="H42" s="543" t="s">
        <v>306</v>
      </c>
      <c r="I42" s="535"/>
      <c r="J42" s="555" t="s">
        <v>306</v>
      </c>
      <c r="K42" s="556"/>
      <c r="L42" s="417" t="s">
        <v>306</v>
      </c>
    </row>
    <row r="43" spans="1:12" ht="13.5" customHeight="1">
      <c r="A43" s="221" t="s">
        <v>688</v>
      </c>
      <c r="B43" s="518">
        <f>688*Главная!$B$134</f>
        <v>23323.2</v>
      </c>
      <c r="C43" s="519"/>
      <c r="D43" s="518">
        <f>519*Главная!$B$134</f>
        <v>17594.1</v>
      </c>
      <c r="E43" s="519"/>
      <c r="F43" s="518">
        <f>731*Главная!$B$134</f>
        <v>24780.899999999998</v>
      </c>
      <c r="G43" s="519"/>
      <c r="H43" s="518">
        <f>760*Главная!$B$134</f>
        <v>25764</v>
      </c>
      <c r="I43" s="534"/>
      <c r="J43" s="518">
        <f>715*Главная!$B$134</f>
        <v>24238.5</v>
      </c>
      <c r="K43" s="519"/>
      <c r="L43" s="414">
        <f>675*Главная!$B$134</f>
        <v>22882.5</v>
      </c>
    </row>
    <row r="44" spans="1:12" ht="13.5" customHeight="1">
      <c r="A44" s="221" t="s">
        <v>689</v>
      </c>
      <c r="B44" s="533" t="s">
        <v>306</v>
      </c>
      <c r="C44" s="533"/>
      <c r="D44" s="518">
        <f>519*Главная!$B$134</f>
        <v>17594.1</v>
      </c>
      <c r="E44" s="519"/>
      <c r="F44" s="518">
        <f>731*Главная!$B$134</f>
        <v>24780.899999999998</v>
      </c>
      <c r="G44" s="519"/>
      <c r="H44" s="533" t="s">
        <v>306</v>
      </c>
      <c r="I44" s="522"/>
      <c r="J44" s="538" t="s">
        <v>306</v>
      </c>
      <c r="K44" s="539"/>
      <c r="L44" s="412" t="s">
        <v>306</v>
      </c>
    </row>
    <row r="45" spans="1:12" ht="13.5" customHeight="1">
      <c r="A45" s="221" t="s">
        <v>1221</v>
      </c>
      <c r="B45" s="533" t="s">
        <v>306</v>
      </c>
      <c r="C45" s="533"/>
      <c r="D45" s="518">
        <f>519*Главная!$B$134</f>
        <v>17594.1</v>
      </c>
      <c r="E45" s="519"/>
      <c r="F45" s="518">
        <f>731*Главная!$B$134</f>
        <v>24780.899999999998</v>
      </c>
      <c r="G45" s="519"/>
      <c r="H45" s="533" t="s">
        <v>306</v>
      </c>
      <c r="I45" s="522"/>
      <c r="J45" s="538" t="s">
        <v>306</v>
      </c>
      <c r="K45" s="539"/>
      <c r="L45" s="414">
        <f>675*Главная!$B$134</f>
        <v>22882.5</v>
      </c>
    </row>
    <row r="46" spans="1:12" ht="13.5" customHeight="1">
      <c r="A46" s="221" t="s">
        <v>672</v>
      </c>
      <c r="B46" s="518">
        <f>688*Главная!$B$134</f>
        <v>23323.2</v>
      </c>
      <c r="C46" s="519"/>
      <c r="D46" s="518">
        <f>519*Главная!$B$134</f>
        <v>17594.1</v>
      </c>
      <c r="E46" s="519"/>
      <c r="F46" s="518">
        <f>731*Главная!$B$134</f>
        <v>24780.899999999998</v>
      </c>
      <c r="G46" s="519"/>
      <c r="H46" s="518">
        <f>760*Главная!$B$134</f>
        <v>25764</v>
      </c>
      <c r="I46" s="534"/>
      <c r="J46" s="538" t="s">
        <v>306</v>
      </c>
      <c r="K46" s="539"/>
      <c r="L46" s="414">
        <f>675*Главная!$B$134</f>
        <v>22882.5</v>
      </c>
    </row>
    <row r="47" spans="1:12" ht="13.5" customHeight="1">
      <c r="A47" s="221" t="s">
        <v>666</v>
      </c>
      <c r="B47" s="533" t="s">
        <v>306</v>
      </c>
      <c r="C47" s="533"/>
      <c r="D47" s="518">
        <f>519*Главная!$B$134</f>
        <v>17594.1</v>
      </c>
      <c r="E47" s="519"/>
      <c r="F47" s="518">
        <f>731*Главная!$B$134</f>
        <v>24780.899999999998</v>
      </c>
      <c r="G47" s="519"/>
      <c r="H47" s="518">
        <f>760*Главная!$B$134</f>
        <v>25764</v>
      </c>
      <c r="I47" s="534"/>
      <c r="J47" s="538" t="s">
        <v>306</v>
      </c>
      <c r="K47" s="539"/>
      <c r="L47" s="414">
        <f>675*Главная!$B$134</f>
        <v>22882.5</v>
      </c>
    </row>
    <row r="48" spans="1:12" ht="13.5" customHeight="1">
      <c r="A48" s="222" t="s">
        <v>690</v>
      </c>
      <c r="B48" s="562" t="s">
        <v>306</v>
      </c>
      <c r="C48" s="562"/>
      <c r="D48" s="540">
        <f>519*Главная!$B$134</f>
        <v>17594.1</v>
      </c>
      <c r="E48" s="541"/>
      <c r="F48" s="540">
        <f>731*Главная!$B$134</f>
        <v>24780.899999999998</v>
      </c>
      <c r="G48" s="541"/>
      <c r="H48" s="540">
        <f>760*Главная!$B$134</f>
        <v>25764</v>
      </c>
      <c r="I48" s="542"/>
      <c r="J48" s="540">
        <f>715*Главная!$B$134</f>
        <v>24238.5</v>
      </c>
      <c r="K48" s="541"/>
      <c r="L48" s="418" t="s">
        <v>306</v>
      </c>
    </row>
    <row r="49" spans="1:9" ht="13.5" customHeight="1">
      <c r="A49"/>
      <c r="B49"/>
      <c r="C49"/>
      <c r="D49"/>
      <c r="E49"/>
      <c r="F49"/>
      <c r="G49"/>
      <c r="H49"/>
      <c r="I49"/>
    </row>
    <row r="50" spans="1:9" ht="13.5" customHeight="1">
      <c r="A50"/>
      <c r="B50"/>
      <c r="C50"/>
      <c r="D50"/>
      <c r="E50"/>
      <c r="F50"/>
      <c r="G50"/>
      <c r="H50"/>
      <c r="I50"/>
    </row>
    <row r="51" spans="1:9" ht="16.5" customHeight="1">
      <c r="A51" s="415" t="s">
        <v>1181</v>
      </c>
      <c r="B51"/>
      <c r="C51"/>
      <c r="D51"/>
      <c r="E51"/>
      <c r="F51"/>
      <c r="G51"/>
      <c r="H51"/>
      <c r="I51"/>
    </row>
    <row r="52" spans="1:12" ht="13.5" customHeight="1">
      <c r="A52" s="223"/>
      <c r="B52" s="224"/>
      <c r="C52" s="224"/>
      <c r="D52" s="224"/>
      <c r="E52" s="224"/>
      <c r="F52" s="224"/>
      <c r="G52" s="224"/>
      <c r="H52" s="225"/>
      <c r="I52" s="225"/>
      <c r="L52" s="1"/>
    </row>
    <row r="53" spans="1:11" ht="33" customHeight="1">
      <c r="A53" s="560" t="s">
        <v>691</v>
      </c>
      <c r="B53" s="560"/>
      <c r="C53" s="560"/>
      <c r="D53" s="560"/>
      <c r="E53" s="560"/>
      <c r="F53" s="560"/>
      <c r="G53" s="560"/>
      <c r="H53" s="560"/>
      <c r="I53" s="560"/>
      <c r="J53" s="560"/>
      <c r="K53" s="560"/>
    </row>
    <row r="54" spans="1:11" ht="33" customHeight="1">
      <c r="A54" s="560" t="s">
        <v>692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</row>
    <row r="55" spans="1:7" ht="24.75" customHeight="1">
      <c r="A55" s="561" t="s">
        <v>336</v>
      </c>
      <c r="B55" s="561"/>
      <c r="C55" s="50"/>
      <c r="D55" s="227"/>
      <c r="E55" s="227"/>
      <c r="F55" s="227"/>
      <c r="G55" s="227"/>
    </row>
    <row r="56" spans="1:9" ht="11.25" customHeight="1">
      <c r="A56" s="557" t="s">
        <v>337</v>
      </c>
      <c r="B56" s="557"/>
      <c r="C56" s="228"/>
      <c r="D56" s="228"/>
      <c r="E56" s="228"/>
      <c r="F56" s="228"/>
      <c r="G56" s="226"/>
      <c r="H56" s="22"/>
      <c r="I56" s="22"/>
    </row>
    <row r="57" spans="1:9" ht="11.25" customHeight="1">
      <c r="A57" s="557" t="s">
        <v>338</v>
      </c>
      <c r="B57" s="557"/>
      <c r="C57" s="228"/>
      <c r="D57" s="228"/>
      <c r="E57" s="228"/>
      <c r="F57" s="228"/>
      <c r="G57" s="226"/>
      <c r="H57" s="22"/>
      <c r="I57" s="22"/>
    </row>
    <row r="58" spans="1:9" ht="11.25" customHeight="1">
      <c r="A58" s="557" t="s">
        <v>339</v>
      </c>
      <c r="B58" s="557"/>
      <c r="C58" s="228"/>
      <c r="D58" s="228"/>
      <c r="E58" s="228"/>
      <c r="F58" s="228"/>
      <c r="G58" s="226"/>
      <c r="H58" s="22"/>
      <c r="I58" s="22"/>
    </row>
    <row r="59" spans="1:9" ht="11.25" customHeight="1">
      <c r="A59" s="557" t="s">
        <v>340</v>
      </c>
      <c r="B59" s="557"/>
      <c r="C59" s="557"/>
      <c r="D59" s="557"/>
      <c r="E59" s="228"/>
      <c r="F59" s="228"/>
      <c r="G59" s="226"/>
      <c r="H59" s="22"/>
      <c r="I59" s="22"/>
    </row>
    <row r="60" spans="1:9" ht="11.25" customHeight="1">
      <c r="A60" s="557" t="s">
        <v>796</v>
      </c>
      <c r="B60" s="557"/>
      <c r="C60" s="557"/>
      <c r="D60" s="557"/>
      <c r="E60" s="557"/>
      <c r="F60" s="557"/>
      <c r="G60" s="226"/>
      <c r="H60" s="22"/>
      <c r="I60" s="22"/>
    </row>
    <row r="61" spans="2:9" ht="11.25" customHeight="1">
      <c r="B61" s="30"/>
      <c r="C61" s="30"/>
      <c r="I61" s="22" t="s">
        <v>11</v>
      </c>
    </row>
    <row r="63" ht="12.75" customHeight="1"/>
    <row r="65" ht="12.75" customHeight="1"/>
  </sheetData>
  <sheetProtection/>
  <mergeCells count="223">
    <mergeCell ref="B48:C48"/>
    <mergeCell ref="D48:E48"/>
    <mergeCell ref="F48:G48"/>
    <mergeCell ref="H48:I48"/>
    <mergeCell ref="J48:K48"/>
    <mergeCell ref="F46:G46"/>
    <mergeCell ref="H46:I46"/>
    <mergeCell ref="J46:K46"/>
    <mergeCell ref="B47:C47"/>
    <mergeCell ref="D47:E47"/>
    <mergeCell ref="F47:G47"/>
    <mergeCell ref="H47:I47"/>
    <mergeCell ref="J47:K47"/>
    <mergeCell ref="J12:K12"/>
    <mergeCell ref="J13:K13"/>
    <mergeCell ref="B42:C42"/>
    <mergeCell ref="B44:C44"/>
    <mergeCell ref="D44:E44"/>
    <mergeCell ref="F44:G44"/>
    <mergeCell ref="H44:I44"/>
    <mergeCell ref="J40:K40"/>
    <mergeCell ref="J41:K41"/>
    <mergeCell ref="J42:K42"/>
    <mergeCell ref="A60:F60"/>
    <mergeCell ref="A53:K53"/>
    <mergeCell ref="A54:K54"/>
    <mergeCell ref="A55:B55"/>
    <mergeCell ref="A56:B56"/>
    <mergeCell ref="A57:B57"/>
    <mergeCell ref="A58:B58"/>
    <mergeCell ref="J43:K43"/>
    <mergeCell ref="J44:K44"/>
    <mergeCell ref="A59:D59"/>
    <mergeCell ref="B45:C45"/>
    <mergeCell ref="D45:E45"/>
    <mergeCell ref="F45:G45"/>
    <mergeCell ref="H45:I45"/>
    <mergeCell ref="J45:K45"/>
    <mergeCell ref="B46:C46"/>
    <mergeCell ref="D46:E46"/>
    <mergeCell ref="J32:K32"/>
    <mergeCell ref="J34:K34"/>
    <mergeCell ref="J35:K35"/>
    <mergeCell ref="J36:K36"/>
    <mergeCell ref="J37:K37"/>
    <mergeCell ref="J39:K39"/>
    <mergeCell ref="J33:K33"/>
    <mergeCell ref="J38:K38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J7:K7"/>
    <mergeCell ref="J8:K8"/>
    <mergeCell ref="J9:K9"/>
    <mergeCell ref="J10:K10"/>
    <mergeCell ref="B2:F2"/>
    <mergeCell ref="A5:H5"/>
    <mergeCell ref="A7:A8"/>
    <mergeCell ref="B8:C8"/>
    <mergeCell ref="D8:E8"/>
    <mergeCell ref="A3:H3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9:C39"/>
    <mergeCell ref="D39:E39"/>
    <mergeCell ref="F39:G39"/>
    <mergeCell ref="H39:I39"/>
    <mergeCell ref="B38:C38"/>
    <mergeCell ref="D38:E38"/>
    <mergeCell ref="B35:C35"/>
    <mergeCell ref="D35:E35"/>
    <mergeCell ref="F35:G35"/>
    <mergeCell ref="H35:I35"/>
    <mergeCell ref="B36:C36"/>
    <mergeCell ref="D36:E36"/>
    <mergeCell ref="F36:G36"/>
    <mergeCell ref="H36:I36"/>
    <mergeCell ref="B32:C32"/>
    <mergeCell ref="D32:E32"/>
    <mergeCell ref="F32:G32"/>
    <mergeCell ref="H32:I32"/>
    <mergeCell ref="B34:C34"/>
    <mergeCell ref="D34:E34"/>
    <mergeCell ref="F34:G34"/>
    <mergeCell ref="H34:I34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F18:G18"/>
    <mergeCell ref="B21:C21"/>
    <mergeCell ref="D21:E21"/>
    <mergeCell ref="F21:G21"/>
    <mergeCell ref="H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H12:I12"/>
    <mergeCell ref="B11:C11"/>
    <mergeCell ref="D11:E11"/>
    <mergeCell ref="F11:G11"/>
    <mergeCell ref="H11:I11"/>
    <mergeCell ref="B13:C13"/>
    <mergeCell ref="D13:E13"/>
    <mergeCell ref="F13:G13"/>
    <mergeCell ref="H13:I13"/>
    <mergeCell ref="A4:H4"/>
    <mergeCell ref="B9:C9"/>
    <mergeCell ref="D9:E9"/>
    <mergeCell ref="F9:G9"/>
    <mergeCell ref="H9:I9"/>
    <mergeCell ref="F8:G8"/>
    <mergeCell ref="H8:I8"/>
    <mergeCell ref="D7:E7"/>
    <mergeCell ref="F7:G7"/>
    <mergeCell ref="H7:I7"/>
    <mergeCell ref="F38:G38"/>
    <mergeCell ref="H38:I38"/>
    <mergeCell ref="B7:C7"/>
    <mergeCell ref="B10:C10"/>
    <mergeCell ref="D10:E10"/>
    <mergeCell ref="F10:G10"/>
    <mergeCell ref="H10:I10"/>
    <mergeCell ref="B18:C18"/>
    <mergeCell ref="H18:I18"/>
    <mergeCell ref="D18:E18"/>
    <mergeCell ref="J11:K11"/>
    <mergeCell ref="B33:C33"/>
    <mergeCell ref="D33:E33"/>
    <mergeCell ref="B19:C19"/>
    <mergeCell ref="D19:E19"/>
    <mergeCell ref="F19:G19"/>
    <mergeCell ref="H19:I19"/>
    <mergeCell ref="B12:C12"/>
    <mergeCell ref="D12:E12"/>
    <mergeCell ref="F12:G12"/>
  </mergeCells>
  <hyperlinks>
    <hyperlink ref="A5" r:id="rId1" display="Смотрите виды и характеристики моек Silestone на сайте:"/>
    <hyperlink ref="I61" location="Главная!R1C1" display="на главную"/>
  </hyperlinks>
  <printOptions/>
  <pageMargins left="0.75" right="0.75" top="1" bottom="1" header="0.5" footer="0.5"/>
  <pageSetup horizontalDpi="600" verticalDpi="600" orientation="landscape" paperSize="9" scale="90" r:id="rId4"/>
  <headerFooter alignWithMargins="0">
    <oddHeader>&amp;C&amp;G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view="pageLayout" workbookViewId="0" topLeftCell="A1">
      <selection activeCell="G68" sqref="G68"/>
    </sheetView>
  </sheetViews>
  <sheetFormatPr defaultColWidth="9.00390625" defaultRowHeight="12.75"/>
  <cols>
    <col min="1" max="1" width="9.125" style="146" customWidth="1"/>
    <col min="2" max="2" width="11.125" style="0" hidden="1" customWidth="1"/>
    <col min="3" max="3" width="13.875" style="0" bestFit="1" customWidth="1"/>
    <col min="7" max="7" width="9.125" style="8" customWidth="1"/>
  </cols>
  <sheetData>
    <row r="1" spans="1:11" ht="23.25" customHeight="1">
      <c r="A1" s="143" t="s">
        <v>277</v>
      </c>
      <c r="E1" s="194"/>
      <c r="F1" s="194"/>
      <c r="G1" s="195"/>
      <c r="H1" s="563"/>
      <c r="I1" s="563"/>
      <c r="J1" s="563"/>
      <c r="K1" s="563"/>
    </row>
    <row r="2" ht="12.75">
      <c r="G2"/>
    </row>
    <row r="3" spans="1:10" ht="12.75">
      <c r="A3" s="504" t="s">
        <v>9</v>
      </c>
      <c r="B3" s="196"/>
      <c r="C3" s="504" t="s">
        <v>274</v>
      </c>
      <c r="D3" s="504" t="s">
        <v>597</v>
      </c>
      <c r="E3" s="504"/>
      <c r="F3" s="196"/>
      <c r="G3" s="504" t="s">
        <v>370</v>
      </c>
      <c r="H3" s="504"/>
      <c r="I3" s="504"/>
      <c r="J3" s="504"/>
    </row>
    <row r="4" spans="1:10" ht="12.75">
      <c r="A4" s="504"/>
      <c r="B4" s="196" t="s">
        <v>374</v>
      </c>
      <c r="C4" s="504"/>
      <c r="D4" s="196" t="s">
        <v>598</v>
      </c>
      <c r="E4" s="196" t="s">
        <v>599</v>
      </c>
      <c r="F4" s="196" t="s">
        <v>600</v>
      </c>
      <c r="G4" s="196" t="s">
        <v>602</v>
      </c>
      <c r="H4" s="196" t="s">
        <v>162</v>
      </c>
      <c r="I4" s="196" t="s">
        <v>163</v>
      </c>
      <c r="J4" s="196" t="s">
        <v>603</v>
      </c>
    </row>
    <row r="5" spans="1:9" ht="12.75">
      <c r="A5" s="564">
        <v>0</v>
      </c>
      <c r="C5" t="s">
        <v>1148</v>
      </c>
      <c r="G5" s="565">
        <f>145*Главная!$B$134</f>
        <v>4915.5</v>
      </c>
      <c r="H5" s="565">
        <f>175*Главная!$B$134</f>
        <v>5932.5</v>
      </c>
      <c r="I5" s="565">
        <f>210*Главная!$B$134</f>
        <v>7119</v>
      </c>
    </row>
    <row r="6" spans="1:10" ht="12.75">
      <c r="A6" s="564"/>
      <c r="C6" s="198" t="s">
        <v>604</v>
      </c>
      <c r="D6" s="198"/>
      <c r="E6" s="198"/>
      <c r="F6" s="198"/>
      <c r="G6" s="565"/>
      <c r="H6" s="565"/>
      <c r="I6" s="565"/>
      <c r="J6" s="198"/>
    </row>
    <row r="7" spans="1:10" ht="13.5" customHeight="1">
      <c r="A7" s="564"/>
      <c r="C7" t="s">
        <v>607</v>
      </c>
      <c r="G7" s="565"/>
      <c r="H7" s="565"/>
      <c r="I7" s="565"/>
      <c r="J7" s="8">
        <f>260*Главная!$B$134</f>
        <v>8814</v>
      </c>
    </row>
    <row r="8" spans="1:10" ht="12.75">
      <c r="A8" s="564"/>
      <c r="C8" s="198" t="s">
        <v>1149</v>
      </c>
      <c r="D8" s="198"/>
      <c r="E8" s="198"/>
      <c r="F8" s="198"/>
      <c r="G8" s="565"/>
      <c r="H8" s="565"/>
      <c r="I8" s="565"/>
      <c r="J8" s="199"/>
    </row>
    <row r="9" spans="1:9" ht="12.75">
      <c r="A9" s="564"/>
      <c r="C9" t="s">
        <v>610</v>
      </c>
      <c r="G9" s="565"/>
      <c r="H9" s="565"/>
      <c r="I9" s="565"/>
    </row>
    <row r="10" spans="1:10" ht="12.75">
      <c r="A10" s="564"/>
      <c r="C10" s="198" t="s">
        <v>1150</v>
      </c>
      <c r="D10" s="198"/>
      <c r="E10" s="198"/>
      <c r="F10" s="198"/>
      <c r="G10" s="565"/>
      <c r="H10" s="565"/>
      <c r="I10" s="565"/>
      <c r="J10" s="199"/>
    </row>
    <row r="11" spans="1:10" ht="12.75">
      <c r="A11" s="564"/>
      <c r="C11" t="s">
        <v>605</v>
      </c>
      <c r="G11" s="565"/>
      <c r="H11" s="565"/>
      <c r="I11" s="565"/>
      <c r="J11" s="8">
        <f>260*Главная!$B$134</f>
        <v>8814</v>
      </c>
    </row>
    <row r="12" spans="1:10" ht="12.75">
      <c r="A12" s="564"/>
      <c r="C12" s="198" t="s">
        <v>1151</v>
      </c>
      <c r="D12" s="198"/>
      <c r="E12" s="198"/>
      <c r="F12" s="198"/>
      <c r="G12" s="565"/>
      <c r="H12" s="565"/>
      <c r="I12" s="565"/>
      <c r="J12" s="198"/>
    </row>
    <row r="13" spans="1:10" ht="12.75">
      <c r="A13" s="566" t="s">
        <v>606</v>
      </c>
      <c r="C13" t="s">
        <v>1152</v>
      </c>
      <c r="G13" s="567">
        <f>180*Главная!$B$134</f>
        <v>6102</v>
      </c>
      <c r="H13" s="567">
        <f>205*Главная!$B$134</f>
        <v>6949.5</v>
      </c>
      <c r="I13" s="567">
        <f>232*Главная!$B$134</f>
        <v>7864.799999999999</v>
      </c>
      <c r="J13" s="8"/>
    </row>
    <row r="14" spans="1:10" ht="12.75">
      <c r="A14" s="566"/>
      <c r="C14" s="198" t="s">
        <v>608</v>
      </c>
      <c r="D14" s="198"/>
      <c r="E14" s="198"/>
      <c r="F14" s="198"/>
      <c r="G14" s="567"/>
      <c r="H14" s="567"/>
      <c r="I14" s="567"/>
      <c r="J14" s="199"/>
    </row>
    <row r="15" spans="1:10" ht="12.75">
      <c r="A15" s="566"/>
      <c r="C15" t="s">
        <v>609</v>
      </c>
      <c r="G15" s="567"/>
      <c r="H15" s="567"/>
      <c r="I15" s="567"/>
      <c r="J15" s="8"/>
    </row>
    <row r="16" spans="1:10" ht="12.75">
      <c r="A16" s="566"/>
      <c r="C16" s="198" t="s">
        <v>611</v>
      </c>
      <c r="D16" s="198"/>
      <c r="E16" s="198"/>
      <c r="F16" s="198"/>
      <c r="G16" s="567"/>
      <c r="H16" s="567"/>
      <c r="I16" s="567"/>
      <c r="J16" s="199"/>
    </row>
    <row r="17" spans="1:10" ht="12.75">
      <c r="A17" s="566"/>
      <c r="C17" t="s">
        <v>612</v>
      </c>
      <c r="G17" s="567"/>
      <c r="H17" s="567"/>
      <c r="I17" s="567"/>
      <c r="J17" s="8"/>
    </row>
    <row r="18" spans="1:10" ht="12.75">
      <c r="A18" s="566"/>
      <c r="C18" s="198" t="s">
        <v>1153</v>
      </c>
      <c r="D18" s="198"/>
      <c r="E18" s="198"/>
      <c r="F18" s="198"/>
      <c r="G18" s="567"/>
      <c r="H18" s="567"/>
      <c r="I18" s="567"/>
      <c r="J18" s="199"/>
    </row>
    <row r="19" spans="1:10" ht="12.75">
      <c r="A19" s="566"/>
      <c r="C19" t="s">
        <v>1154</v>
      </c>
      <c r="G19" s="567"/>
      <c r="H19" s="567"/>
      <c r="I19" s="567"/>
      <c r="J19" s="8">
        <f>280*Главная!$B$134</f>
        <v>9492</v>
      </c>
    </row>
    <row r="20" spans="1:10" ht="12.75">
      <c r="A20" s="566"/>
      <c r="C20" s="198" t="s">
        <v>1155</v>
      </c>
      <c r="D20" s="198"/>
      <c r="E20" s="198"/>
      <c r="F20" s="198"/>
      <c r="G20" s="567"/>
      <c r="H20" s="567"/>
      <c r="I20" s="567"/>
      <c r="J20" s="199"/>
    </row>
    <row r="21" spans="1:10" ht="12.75">
      <c r="A21" s="564" t="s">
        <v>615</v>
      </c>
      <c r="C21" t="s">
        <v>1156</v>
      </c>
      <c r="G21" s="565">
        <f>199*Главная!$B$134</f>
        <v>6746.099999999999</v>
      </c>
      <c r="H21" s="565">
        <f>237*Главная!$B$134</f>
        <v>8034.299999999999</v>
      </c>
      <c r="I21" s="565">
        <f>272*Главная!$B$134</f>
        <v>9220.8</v>
      </c>
      <c r="J21" s="8">
        <f>315*Главная!$B$134</f>
        <v>10678.5</v>
      </c>
    </row>
    <row r="22" spans="1:10" ht="12.75">
      <c r="A22" s="564"/>
      <c r="C22" s="198" t="s">
        <v>624</v>
      </c>
      <c r="D22" s="198"/>
      <c r="E22" s="198"/>
      <c r="F22" s="198"/>
      <c r="G22" s="565"/>
      <c r="H22" s="565"/>
      <c r="I22" s="565"/>
      <c r="J22" s="199"/>
    </row>
    <row r="23" spans="1:10" ht="12.75">
      <c r="A23" s="564"/>
      <c r="C23" t="s">
        <v>1157</v>
      </c>
      <c r="G23" s="565"/>
      <c r="H23" s="565"/>
      <c r="I23" s="565"/>
      <c r="J23" s="8"/>
    </row>
    <row r="24" spans="1:10" ht="12.75">
      <c r="A24" s="564"/>
      <c r="C24" s="198" t="s">
        <v>1158</v>
      </c>
      <c r="D24" s="198"/>
      <c r="E24" s="198"/>
      <c r="F24" s="198"/>
      <c r="G24" s="565"/>
      <c r="H24" s="565"/>
      <c r="I24" s="565"/>
      <c r="J24" s="199"/>
    </row>
    <row r="25" spans="1:10" ht="12.75">
      <c r="A25" s="564"/>
      <c r="C25" t="s">
        <v>1159</v>
      </c>
      <c r="G25" s="565"/>
      <c r="H25" s="565"/>
      <c r="I25" s="565"/>
      <c r="J25" s="8"/>
    </row>
    <row r="26" spans="1:10" ht="12.75">
      <c r="A26" s="564"/>
      <c r="C26" s="198" t="s">
        <v>1160</v>
      </c>
      <c r="D26" s="198"/>
      <c r="E26" s="198"/>
      <c r="F26" s="198"/>
      <c r="G26" s="565"/>
      <c r="H26" s="565"/>
      <c r="I26" s="565"/>
      <c r="J26" s="199"/>
    </row>
    <row r="27" spans="1:10" ht="12.75">
      <c r="A27" s="564"/>
      <c r="C27" t="s">
        <v>1161</v>
      </c>
      <c r="G27" s="565"/>
      <c r="H27" s="565"/>
      <c r="I27" s="565"/>
      <c r="J27" s="8"/>
    </row>
    <row r="28" spans="1:10" ht="12.75">
      <c r="A28" s="564"/>
      <c r="C28" s="198" t="s">
        <v>1162</v>
      </c>
      <c r="D28" s="198"/>
      <c r="E28" s="198"/>
      <c r="F28" s="198"/>
      <c r="G28" s="565"/>
      <c r="H28" s="565"/>
      <c r="I28" s="565"/>
      <c r="J28" s="199"/>
    </row>
    <row r="29" spans="1:10" ht="12.75">
      <c r="A29" s="564"/>
      <c r="C29" t="s">
        <v>1163</v>
      </c>
      <c r="G29" s="565"/>
      <c r="H29" s="565"/>
      <c r="I29" s="565"/>
      <c r="J29" s="8"/>
    </row>
    <row r="30" spans="1:10" ht="12.75">
      <c r="A30" s="564"/>
      <c r="C30" s="198" t="s">
        <v>617</v>
      </c>
      <c r="D30" s="198"/>
      <c r="E30" s="198"/>
      <c r="F30" s="198"/>
      <c r="G30" s="565"/>
      <c r="H30" s="565"/>
      <c r="I30" s="565"/>
      <c r="J30" s="199"/>
    </row>
    <row r="31" spans="1:10" ht="12.75">
      <c r="A31" s="564"/>
      <c r="C31" t="s">
        <v>618</v>
      </c>
      <c r="G31" s="565"/>
      <c r="H31" s="565"/>
      <c r="I31" s="565"/>
      <c r="J31" s="8"/>
    </row>
    <row r="32" spans="1:10" ht="12.75">
      <c r="A32" s="564"/>
      <c r="C32" s="198" t="s">
        <v>1164</v>
      </c>
      <c r="D32" s="198"/>
      <c r="E32" s="198"/>
      <c r="F32" s="198"/>
      <c r="G32" s="565"/>
      <c r="H32" s="565"/>
      <c r="I32" s="565"/>
      <c r="J32" s="199"/>
    </row>
    <row r="33" spans="1:10" ht="12.75">
      <c r="A33" s="564"/>
      <c r="C33" t="s">
        <v>619</v>
      </c>
      <c r="G33" s="565"/>
      <c r="H33" s="565"/>
      <c r="I33" s="565"/>
      <c r="J33" s="8">
        <f>315*Главная!$B$134</f>
        <v>10678.5</v>
      </c>
    </row>
    <row r="34" spans="1:10" ht="12.75">
      <c r="A34" s="564"/>
      <c r="C34" s="198" t="s">
        <v>1165</v>
      </c>
      <c r="D34" s="198"/>
      <c r="E34" s="198"/>
      <c r="F34" s="198"/>
      <c r="G34" s="565"/>
      <c r="H34" s="565"/>
      <c r="I34" s="565"/>
      <c r="J34" s="199"/>
    </row>
    <row r="35" spans="1:10" ht="12.75">
      <c r="A35" s="564"/>
      <c r="C35" t="s">
        <v>620</v>
      </c>
      <c r="G35" s="565"/>
      <c r="H35" s="565"/>
      <c r="I35" s="565"/>
      <c r="J35" s="8">
        <f>315*Главная!$B$134</f>
        <v>10678.5</v>
      </c>
    </row>
    <row r="36" spans="1:10" ht="12.75">
      <c r="A36" s="564"/>
      <c r="C36" s="198" t="s">
        <v>1166</v>
      </c>
      <c r="D36" s="198"/>
      <c r="E36" s="198"/>
      <c r="F36" s="198"/>
      <c r="G36" s="565"/>
      <c r="H36" s="565"/>
      <c r="I36" s="565"/>
      <c r="J36" s="199"/>
    </row>
    <row r="37" spans="1:10" ht="12.75">
      <c r="A37" s="564"/>
      <c r="C37" t="s">
        <v>621</v>
      </c>
      <c r="G37" s="565"/>
      <c r="H37" s="565"/>
      <c r="I37" s="565"/>
      <c r="J37" s="8"/>
    </row>
    <row r="38" spans="1:10" ht="12.75">
      <c r="A38" s="566" t="s">
        <v>622</v>
      </c>
      <c r="C38" s="198" t="s">
        <v>1167</v>
      </c>
      <c r="D38" s="198"/>
      <c r="E38" s="198"/>
      <c r="F38" s="198"/>
      <c r="G38" s="567">
        <f>230*Главная!$B$134</f>
        <v>7797</v>
      </c>
      <c r="H38" s="567">
        <f>275*Главная!$B$134</f>
        <v>9322.5</v>
      </c>
      <c r="I38" s="567">
        <f>315*Главная!$B$134</f>
        <v>10678.5</v>
      </c>
      <c r="J38" s="199"/>
    </row>
    <row r="39" spans="1:10" ht="12.75">
      <c r="A39" s="566"/>
      <c r="C39" t="s">
        <v>1059</v>
      </c>
      <c r="G39" s="567"/>
      <c r="H39" s="567"/>
      <c r="I39" s="567"/>
      <c r="J39" s="8"/>
    </row>
    <row r="40" spans="1:10" ht="12.75">
      <c r="A40" s="566"/>
      <c r="C40" s="198" t="s">
        <v>1168</v>
      </c>
      <c r="D40" s="198"/>
      <c r="E40" s="198"/>
      <c r="F40" s="198"/>
      <c r="G40" s="567"/>
      <c r="H40" s="567"/>
      <c r="I40" s="567"/>
      <c r="J40" s="199"/>
    </row>
    <row r="41" spans="1:10" ht="12.75">
      <c r="A41" s="566"/>
      <c r="C41" t="s">
        <v>1060</v>
      </c>
      <c r="G41" s="567"/>
      <c r="H41" s="567"/>
      <c r="I41" s="567"/>
      <c r="J41" s="8"/>
    </row>
    <row r="42" spans="1:10" ht="12.75">
      <c r="A42" s="566"/>
      <c r="C42" s="198" t="s">
        <v>1169</v>
      </c>
      <c r="D42" s="198"/>
      <c r="E42" s="198"/>
      <c r="F42" s="198"/>
      <c r="G42" s="567"/>
      <c r="H42" s="567"/>
      <c r="I42" s="567"/>
      <c r="J42" s="199"/>
    </row>
    <row r="43" spans="1:10" ht="12.75">
      <c r="A43" s="566"/>
      <c r="C43" t="s">
        <v>1061</v>
      </c>
      <c r="G43" s="567"/>
      <c r="H43" s="567"/>
      <c r="I43" s="567"/>
      <c r="J43" s="8"/>
    </row>
    <row r="44" spans="1:10" ht="12.75">
      <c r="A44" s="566"/>
      <c r="C44" s="198" t="s">
        <v>1170</v>
      </c>
      <c r="D44" s="198"/>
      <c r="E44" s="198"/>
      <c r="F44" s="198"/>
      <c r="G44" s="567"/>
      <c r="H44" s="567"/>
      <c r="I44" s="567"/>
      <c r="J44" s="199"/>
    </row>
    <row r="45" spans="1:10" ht="12.75">
      <c r="A45" s="566"/>
      <c r="C45" t="s">
        <v>1171</v>
      </c>
      <c r="G45" s="567"/>
      <c r="H45" s="567"/>
      <c r="I45" s="567"/>
      <c r="J45" s="8"/>
    </row>
    <row r="46" spans="1:10" ht="12.75">
      <c r="A46" s="566"/>
      <c r="C46" s="198" t="s">
        <v>1172</v>
      </c>
      <c r="D46" s="198"/>
      <c r="E46" s="198"/>
      <c r="F46" s="198"/>
      <c r="G46" s="567"/>
      <c r="H46" s="567"/>
      <c r="I46" s="567"/>
      <c r="J46" s="199"/>
    </row>
    <row r="47" spans="1:10" ht="12.75">
      <c r="A47" s="566"/>
      <c r="C47" t="s">
        <v>1062</v>
      </c>
      <c r="G47" s="567"/>
      <c r="H47" s="567"/>
      <c r="I47" s="567"/>
      <c r="J47" s="8"/>
    </row>
    <row r="48" spans="1:10" ht="12.75">
      <c r="A48" s="566"/>
      <c r="C48" s="198" t="s">
        <v>625</v>
      </c>
      <c r="D48" s="198"/>
      <c r="E48" s="198"/>
      <c r="F48" s="198"/>
      <c r="G48" s="567"/>
      <c r="H48" s="567"/>
      <c r="I48" s="567"/>
      <c r="J48" s="199"/>
    </row>
    <row r="49" spans="1:10" ht="12.75">
      <c r="A49" s="566"/>
      <c r="C49" t="s">
        <v>1063</v>
      </c>
      <c r="G49" s="567"/>
      <c r="H49" s="567"/>
      <c r="I49" s="567"/>
      <c r="J49" s="8"/>
    </row>
    <row r="50" spans="1:10" ht="12.75">
      <c r="A50" s="566"/>
      <c r="C50" s="198" t="s">
        <v>1173</v>
      </c>
      <c r="D50" s="198"/>
      <c r="E50" s="198"/>
      <c r="F50" s="198"/>
      <c r="G50" s="567"/>
      <c r="H50" s="567"/>
      <c r="I50" s="567"/>
      <c r="J50" s="199"/>
    </row>
    <row r="51" spans="1:10" ht="12.75">
      <c r="A51" s="566"/>
      <c r="C51" t="s">
        <v>1064</v>
      </c>
      <c r="G51" s="567"/>
      <c r="H51" s="567"/>
      <c r="I51" s="567"/>
      <c r="J51" s="8"/>
    </row>
    <row r="52" spans="1:10" ht="12.75">
      <c r="A52" s="566"/>
      <c r="C52" s="198" t="s">
        <v>1174</v>
      </c>
      <c r="D52" s="198"/>
      <c r="E52" s="198"/>
      <c r="F52" s="198"/>
      <c r="G52" s="567"/>
      <c r="H52" s="567"/>
      <c r="I52" s="567"/>
      <c r="J52" s="199"/>
    </row>
    <row r="53" spans="1:10" ht="12.75">
      <c r="A53" s="566"/>
      <c r="C53" t="s">
        <v>1175</v>
      </c>
      <c r="G53" s="567"/>
      <c r="H53" s="567"/>
      <c r="I53" s="567"/>
      <c r="J53" s="8">
        <f>355*Главная!$B$134</f>
        <v>12034.5</v>
      </c>
    </row>
    <row r="54" spans="1:10" ht="12.75">
      <c r="A54" s="564" t="s">
        <v>627</v>
      </c>
      <c r="C54" s="198" t="s">
        <v>628</v>
      </c>
      <c r="D54" s="198"/>
      <c r="E54" s="198"/>
      <c r="F54" s="198"/>
      <c r="G54" s="565">
        <f>275*Главная!$B$134</f>
        <v>9322.5</v>
      </c>
      <c r="H54" s="565">
        <f>325*Главная!$B$134</f>
        <v>11017.5</v>
      </c>
      <c r="I54" s="565">
        <f>375*Главная!$B$134</f>
        <v>12712.5</v>
      </c>
      <c r="J54" s="199"/>
    </row>
    <row r="55" spans="1:10" ht="12.75">
      <c r="A55" s="564"/>
      <c r="C55" t="s">
        <v>1071</v>
      </c>
      <c r="G55" s="565"/>
      <c r="H55" s="565"/>
      <c r="I55" s="565"/>
      <c r="J55" s="8"/>
    </row>
    <row r="56" spans="1:10" ht="12.75">
      <c r="A56" s="564"/>
      <c r="C56" s="198" t="s">
        <v>1176</v>
      </c>
      <c r="D56" s="198"/>
      <c r="E56" s="198"/>
      <c r="F56" s="198"/>
      <c r="G56" s="565"/>
      <c r="H56" s="565"/>
      <c r="I56" s="565"/>
      <c r="J56" s="199"/>
    </row>
    <row r="57" spans="1:10" ht="12.75">
      <c r="A57" s="564"/>
      <c r="C57" t="s">
        <v>629</v>
      </c>
      <c r="G57" s="565"/>
      <c r="H57" s="565"/>
      <c r="I57" s="565"/>
      <c r="J57" s="8">
        <f>425*Главная!$B$134</f>
        <v>14407.5</v>
      </c>
    </row>
    <row r="58" spans="1:10" ht="12.75">
      <c r="A58" s="564"/>
      <c r="C58" s="198" t="s">
        <v>1177</v>
      </c>
      <c r="D58" s="198"/>
      <c r="E58" s="198"/>
      <c r="F58" s="198"/>
      <c r="G58" s="565"/>
      <c r="H58" s="565"/>
      <c r="I58" s="565"/>
      <c r="J58" s="199"/>
    </row>
    <row r="59" spans="1:10" ht="12.75">
      <c r="A59" s="564"/>
      <c r="C59" t="s">
        <v>1178</v>
      </c>
      <c r="G59" s="565"/>
      <c r="H59" s="565"/>
      <c r="I59" s="565"/>
      <c r="J59" s="8"/>
    </row>
    <row r="60" spans="1:10" ht="12.75">
      <c r="A60" s="564"/>
      <c r="C60" s="198" t="s">
        <v>1065</v>
      </c>
      <c r="D60" s="198"/>
      <c r="E60" s="198"/>
      <c r="F60" s="198"/>
      <c r="G60" s="565"/>
      <c r="H60" s="565"/>
      <c r="I60" s="565"/>
      <c r="J60" s="199"/>
    </row>
    <row r="61" spans="1:10" ht="12.75">
      <c r="A61" s="564"/>
      <c r="C61" t="s">
        <v>1179</v>
      </c>
      <c r="G61" s="565"/>
      <c r="H61" s="565"/>
      <c r="I61" s="565"/>
      <c r="J61" s="8"/>
    </row>
    <row r="62" spans="1:10" ht="12.75">
      <c r="A62" s="564"/>
      <c r="C62" s="198" t="s">
        <v>1180</v>
      </c>
      <c r="D62" s="198"/>
      <c r="E62" s="198"/>
      <c r="F62" s="198"/>
      <c r="G62" s="565"/>
      <c r="H62" s="565"/>
      <c r="I62" s="565"/>
      <c r="J62" s="199"/>
    </row>
    <row r="63" spans="1:7" ht="12.75">
      <c r="A63"/>
      <c r="G63"/>
    </row>
    <row r="64" spans="1:7" ht="12.75">
      <c r="A64" t="s">
        <v>1181</v>
      </c>
      <c r="G64"/>
    </row>
    <row r="65" spans="1:7" ht="12.75">
      <c r="A65"/>
      <c r="G65"/>
    </row>
    <row r="66" spans="1:7" ht="12.75">
      <c r="A66" s="146" t="s">
        <v>631</v>
      </c>
      <c r="G66"/>
    </row>
    <row r="67" ht="12.75">
      <c r="G67"/>
    </row>
    <row r="68" spans="1:7" ht="12.75">
      <c r="A68" t="s">
        <v>632</v>
      </c>
      <c r="C68" t="s">
        <v>633</v>
      </c>
      <c r="D68" t="s">
        <v>634</v>
      </c>
      <c r="E68" t="s">
        <v>635</v>
      </c>
      <c r="G68"/>
    </row>
    <row r="69" ht="12.75" customHeight="1">
      <c r="G69"/>
    </row>
    <row r="70" spans="3:7" ht="12.75" customHeight="1">
      <c r="C70" t="s">
        <v>636</v>
      </c>
      <c r="G70"/>
    </row>
    <row r="71" ht="29.25" customHeight="1">
      <c r="G71"/>
    </row>
    <row r="72" spans="1:7" ht="12.75">
      <c r="A72" s="568" t="s">
        <v>637</v>
      </c>
      <c r="B72" s="568"/>
      <c r="C72" s="568"/>
      <c r="D72" s="568"/>
      <c r="E72" s="568"/>
      <c r="F72" s="568"/>
      <c r="G72" s="568"/>
    </row>
    <row r="73" spans="1:7" ht="12.75">
      <c r="A73" s="201"/>
      <c r="B73" s="201"/>
      <c r="C73" s="201"/>
      <c r="D73" s="201"/>
      <c r="E73" s="201"/>
      <c r="F73" s="201"/>
      <c r="G73" s="201"/>
    </row>
    <row r="74" spans="1:9" ht="12.75">
      <c r="A74" s="568" t="s">
        <v>638</v>
      </c>
      <c r="B74" s="568"/>
      <c r="C74" s="568"/>
      <c r="D74" s="568"/>
      <c r="E74" s="568"/>
      <c r="F74" s="568"/>
      <c r="G74" s="568"/>
      <c r="H74" s="568"/>
      <c r="I74" s="568"/>
    </row>
    <row r="75" ht="12.75">
      <c r="G75"/>
    </row>
    <row r="76" ht="12.75">
      <c r="G76"/>
    </row>
    <row r="77" ht="12.75">
      <c r="G77"/>
    </row>
    <row r="78" ht="12.75">
      <c r="G78"/>
    </row>
  </sheetData>
  <sheetProtection/>
  <mergeCells count="27">
    <mergeCell ref="A72:G72"/>
    <mergeCell ref="A74:I74"/>
    <mergeCell ref="A5:A12"/>
    <mergeCell ref="G5:G12"/>
    <mergeCell ref="H5:H12"/>
    <mergeCell ref="I5:I12"/>
    <mergeCell ref="A13:A20"/>
    <mergeCell ref="G13:G20"/>
    <mergeCell ref="H13:H20"/>
    <mergeCell ref="I13:I20"/>
    <mergeCell ref="G21:G37"/>
    <mergeCell ref="H21:H37"/>
    <mergeCell ref="I21:I37"/>
    <mergeCell ref="A38:A53"/>
    <mergeCell ref="G38:G53"/>
    <mergeCell ref="H38:H53"/>
    <mergeCell ref="I38:I53"/>
    <mergeCell ref="H1:K1"/>
    <mergeCell ref="A3:A4"/>
    <mergeCell ref="C3:C4"/>
    <mergeCell ref="D3:E3"/>
    <mergeCell ref="G3:J3"/>
    <mergeCell ref="A54:A62"/>
    <mergeCell ref="G54:G62"/>
    <mergeCell ref="H54:H62"/>
    <mergeCell ref="I54:I62"/>
    <mergeCell ref="A21:A37"/>
  </mergeCells>
  <printOptions/>
  <pageMargins left="0.3125" right="0.75" top="1" bottom="1" header="0.5" footer="0.5"/>
  <pageSetup horizontalDpi="600" verticalDpi="600" orientation="portrait" paperSize="9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Алина Чумак</cp:lastModifiedBy>
  <cp:lastPrinted>2019-01-30T14:34:50Z</cp:lastPrinted>
  <dcterms:created xsi:type="dcterms:W3CDTF">2018-05-03T06:24:24Z</dcterms:created>
  <dcterms:modified xsi:type="dcterms:W3CDTF">2021-04-28T06:08:19Z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